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ctrlProps/ctrlProp5.xml" ContentType="application/vnd.ms-excel.controlpropertie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3.xml" ContentType="application/vnd.openxmlformats-officedocument.drawing+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7"/>
  <workbookPr showInkAnnotation="0" codeName="ThisWorkbook" autoCompressPictures="0"/>
  <mc:AlternateContent xmlns:mc="http://schemas.openxmlformats.org/markup-compatibility/2006">
    <mc:Choice Requires="x15">
      <x15ac:absPath xmlns:x15ac="http://schemas.microsoft.com/office/spreadsheetml/2010/11/ac" url="/Users/dsteward/Documents/EPACT/EPAct Fleet Reporting/EPACT reporting emails/MY 23 Reporting/MY2023 AC Reporting Spreadsheet/"/>
    </mc:Choice>
  </mc:AlternateContent>
  <xr:revisionPtr revIDLastSave="0" documentId="13_ncr:1_{DF95BE16-2DE5-9646-B8E2-3E350703CCB5}" xr6:coauthVersionLast="47" xr6:coauthVersionMax="47" xr10:uidLastSave="{00000000-0000-0000-0000-000000000000}"/>
  <bookViews>
    <workbookView xWindow="960" yWindow="500" windowWidth="28940" windowHeight="20660" tabRatio="607" xr2:uid="{00000000-000D-0000-FFFF-FFFF00000000}"/>
  </bookViews>
  <sheets>
    <sheet name="Summary" sheetId="13" r:id="rId1"/>
    <sheet name="Improve Fuel Efficiency" sheetId="5" r:id="rId2"/>
    <sheet name="Use Alternative Fuels" sheetId="14" r:id="rId3"/>
    <sheet name="Biodiesel Blends" sheetId="12" r:id="rId4"/>
    <sheet name="VMT Reduction" sheetId="7" r:id="rId5"/>
    <sheet name="Idle Time Reduction" sheetId="10" r:id="rId6"/>
    <sheet name="ACV Inventory" sheetId="2" r:id="rId7"/>
    <sheet name="Lists" sheetId="4" state="hidden" r:id="rId8"/>
  </sheets>
  <definedNames>
    <definedName name="ACV_Fuel_Lookup">Lists!$C$115:$E$124</definedName>
    <definedName name="ACV_Fuels">General_Fuel_List[ACV_Fuel_Lookup]</definedName>
    <definedName name="All_Alt">Lists!$H$115</definedName>
    <definedName name="Alt_Fuel_GGE">'Use Alternative Fuels'!$D$10</definedName>
    <definedName name="Alt_MPG_Lookup">Lists!#REF!</definedName>
    <definedName name="Baseline_MPG">Lists!#REF!</definedName>
    <definedName name="Biodiesel_CF">Lists!$E$81</definedName>
    <definedName name="Biodiesel_end_BL">'Biodiesel Blends'!$D$51</definedName>
    <definedName name="Biodiesel_GGE">'Biodiesel Blends'!$C$8</definedName>
    <definedName name="Biodiesel_start_BL">'Biodiesel Blends'!$D$49</definedName>
    <definedName name="Biodiesel_tank_end">'Biodiesel Blends'!$D$50</definedName>
    <definedName name="Biodiesel_tank_start">'Biodiesel Blends'!$D$48</definedName>
    <definedName name="Biodiesel_tank_total">'Biodiesel Blends'!$C$46</definedName>
    <definedName name="Biodiesel_veh_total">'Biodiesel Blends'!$C$13</definedName>
    <definedName name="CNG_Lookup">Lists!$C$98:$C$101</definedName>
    <definedName name="Conv_Fuel_Lookup">Lists!$C$127:$D$129</definedName>
    <definedName name="Conv_Fuels_List">Lists!$C$128:$C$129</definedName>
    <definedName name="credit_year">Summary!$D$36</definedName>
    <definedName name="Default_AF_percent" comment="dynamic variable for default AF percent dropdown">INDEX(TBL_AFLEET_Fuels[],MATCH(temp_AFLEET_fuel,TBL_AFLEET_Fuels[AFLEET Fuels List],0),MATCH("Default Percent of Fuel Use",TBL_AFLEET_Fuels[#Headers],0))</definedName>
    <definedName name="Default_AFLEET_FE" comment="dynamic variable for looking up the FE for selected vehicle type and fuel">INDEX(TBL_AFLEET_GGE[],MATCH(temp_AFLEET_vehType,TBL_AFLEET_GGE[Vocation],0),MATCH(temp_AFLEET_fuel,TBL_AFLEET_GGE[#Headers],0))</definedName>
    <definedName name="Default_fuel_use_wload">INDIRECT("Idle_fuel_lists_load["&amp;Idle_vehicle_selected&amp;"]")</definedName>
    <definedName name="Default_fuel_use_wo_load">INDIRECT("Idle_fuel_lists_noload["&amp;Idle_vehicle_selected&amp;"]")</definedName>
    <definedName name="Default_MPG">INDIRECT("Default_MPG_values["&amp;MPG_vehicle_selected&amp;"]")</definedName>
    <definedName name="Default_MPG2">INDIRECT("Default_MPG_values["&amp;MPG2_vehicle_selected&amp;"]")</definedName>
    <definedName name="Default_Onboard_Savings">INDIRECT("tbl_OnboardIdle_default["&amp;sel_onboard_type&amp;"]")</definedName>
    <definedName name="DGGE">Lists!$E$86</definedName>
    <definedName name="Diesel">Lists!$C$86</definedName>
    <definedName name="E_85">Lists!$C$87</definedName>
    <definedName name="Electric">Lists!$C$88</definedName>
    <definedName name="fleet_name">Summary!$D$24</definedName>
    <definedName name="Fuel_List">Lists!$C$81:$C$94</definedName>
    <definedName name="Gasoline">Lists!$C$89</definedName>
    <definedName name="H2_Lookup">Lists!$C$104:$C$105</definedName>
    <definedName name="Idle_loadselection">OFFSET('Idle Time Reduction'!$I1,0,-1)</definedName>
    <definedName name="Idle_red_total">'Idle Time Reduction'!$D$12</definedName>
    <definedName name="Idle_table">Lists!$C$182</definedName>
    <definedName name="Idle_vehicle_selected">OFFSET('Idle Time Reduction'!$I1,0,-6)</definedName>
    <definedName name="Idle_VehicleType">Lists!$C$167:$C$177</definedName>
    <definedName name="List_of_vehicles">OFFSET('Improve Fuel Efficiency'!$O$18,0,0,COUNTA(tbl_ReplacedVeh_User[Vehicles Remaining])-COUNTBLANK(tbl_ReplacedVeh_User[Vehicles Remaining]),1)</definedName>
    <definedName name="LNG">Lists!$C$92</definedName>
    <definedName name="loc_AltFuels">'Use Alternative Fuels'!$B$1</definedName>
    <definedName name="loc_biodiesel">'Biodiesel Blends'!$B$1</definedName>
    <definedName name="loc_idle">'Idle Time Reduction'!$B$1</definedName>
    <definedName name="loc_onboard_idle_red">'Idle Time Reduction'!$B$15</definedName>
    <definedName name="loc_ReplaceVeh">'Improve Fuel Efficiency'!$B$1</definedName>
    <definedName name="loc_truckstop_elec">'Idle Time Reduction'!$B$49</definedName>
    <definedName name="loc_turn_engine_off">'Idle Time Reduction'!$B$30</definedName>
    <definedName name="loc_VMT">'VMT Reduction'!$B$1</definedName>
    <definedName name="LPG">Lists!$C$93</definedName>
    <definedName name="max_remaining">INDEX(tbl_ReplacedVeh_User[],MATCH(Sel_vehicle_being_replaced,tbl_ReplacedVeh_User[*Description/unique ID],0),MATCH("Number Remaining",tbl_ReplacedVeh_User[#Headers],0))</definedName>
    <definedName name="MPG_Lookup">Lists!#REF!</definedName>
    <definedName name="MPG_values">Lists!#REF!</definedName>
    <definedName name="MPG_vehicle_selected">OFFSET('Improve Fuel Efficiency'!$L1,0,-9)</definedName>
    <definedName name="MPG2_vehicle_selected">OFFSET('Use Alternative Fuels'!$F1,0,-3)</definedName>
    <definedName name="MYend">Summary!$H$36</definedName>
    <definedName name="MYstart">Summary!$F$36</definedName>
    <definedName name="Net_GGE">Summary!$E$62</definedName>
    <definedName name="no_Alt">Lists!$H$116</definedName>
    <definedName name="Onboard_Equip">TBL_APU_GGE_Savings[Onboard IR Type]</definedName>
    <definedName name="Onboard_hrs">Lists!$F$106:$F$107</definedName>
    <definedName name="plugin_Alt">Lists!$H$117</definedName>
    <definedName name="PRR">Summary!$B$48</definedName>
    <definedName name="Pseries">Lists!$C$94</definedName>
    <definedName name="Replace_vehicles_GGE">'Improve Fuel Efficiency'!$D$12</definedName>
    <definedName name="Replaced_Veh_MPG">INDIRECT("TBL_Replaced_Veh_MPG["&amp;Replaced_veh_type&amp;"]")</definedName>
    <definedName name="Replaced_veh_type">OFFSET('Improve Fuel Efficiency'!$I1,0,-5)</definedName>
    <definedName name="Replaced_Vehicles">tbl_ReplacedVeh_User[*Description/unique ID]</definedName>
    <definedName name="Replacement_veh_MPG">INDIRECT("TBL_Replacement_Veh_MPG["&amp;Replacement_veh_type&amp;"]")</definedName>
    <definedName name="Replacement_veh_type">OFFSET('Improve Fuel Efficiency'!$I1,0,-6)</definedName>
    <definedName name="sel_onboard_type">OFFSET(#REF!,0,-4)</definedName>
    <definedName name="Sel_vehicle_being_replaced">OFFSET('Improve Fuel Efficiency'!$E1,0,-1)</definedName>
    <definedName name="Tbl_Fuel_Conversions">Lists!$C$80:$F$94</definedName>
    <definedName name="temp_AFLEET_fuel" comment="dynamic variable for looking up the default percent of alternative fuel in TBL_AFLEET_Fuels">OFFSET('Use Alternative Fuels'!$H1,0,-1)</definedName>
    <definedName name="temp_AFLEET_vehType" comment="dynamic variable for looking up the vehicle type in TBL_AFLEET_Fuels">OFFSET('Use Alternative Fuels'!$G1,0,-4)</definedName>
    <definedName name="temp_Onboard_hrs" comment="temporary identification of the idle reduction equipment selected in this row.">OFFSET('Idle Time Reduction'!A1,0,-3)</definedName>
    <definedName name="temp_OnBoardIR_type">OFFSET('Idle Time Reduction'!A1,0,-1)</definedName>
    <definedName name="test_list">OFFSET('Improve Fuel Efficiency'!#REF!,0,0,COUNTA(tbl_ReplacedVeh_User[Vehicles Remaining])-COUNTBLANK(tbl_ReplacedVeh_User[Vehicles Remaining]),1)</definedName>
    <definedName name="Total_actual_GGE">Summary!$E$60</definedName>
    <definedName name="TrkStop_hours">Lists!$C$161:$C$162</definedName>
    <definedName name="TrkStop_idle_fuel">Lists!$D$161:$D$162</definedName>
    <definedName name="Typical_vehicle_FE" comment="lookup table for finding the fuel economy of a typical vehicle of the size selected by the user">Lists!#REF!</definedName>
    <definedName name="user_percent">Lists!$H$118</definedName>
    <definedName name="variable_percent">Lists!$H$118</definedName>
    <definedName name="Vehicle_Size" comment="dropdown list for looking up the fuel economy of a &quot;typical&quot; conventional vehicle for &quot;Alternative Fuel Vehicles&quot; sheet">Lists!#REF!</definedName>
    <definedName name="VMT_Calculation_Method">Lists!$C$109:$C$111</definedName>
    <definedName name="VMT_GGE">'VMT Reduction'!$C$8</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M16" i="14" l="1"/>
  <c r="M17" i="14"/>
  <c r="M18" i="14"/>
  <c r="M19" i="14"/>
  <c r="M20" i="14"/>
  <c r="M21" i="14"/>
  <c r="D56" i="4" a="1"/>
  <c r="D56" i="4" s="1"/>
  <c r="D15" i="14"/>
  <c r="D16" i="14"/>
  <c r="D17" i="14"/>
  <c r="D18" i="14"/>
  <c r="D19" i="14"/>
  <c r="D20" i="14"/>
  <c r="D21" i="14"/>
  <c r="D157" i="4" l="1"/>
  <c r="D150" i="4"/>
  <c r="B47" i="13" l="1"/>
  <c r="H20" i="10"/>
  <c r="H18" i="10"/>
  <c r="H19" i="10"/>
  <c r="J26" i="5" l="1"/>
  <c r="K26" i="5" s="1"/>
  <c r="L26" i="5" s="1"/>
  <c r="M26" i="5"/>
  <c r="N26" i="5" s="1"/>
  <c r="F39" i="5"/>
  <c r="K39" i="5"/>
  <c r="M18" i="5" l="1"/>
  <c r="M19" i="5"/>
  <c r="M20" i="5"/>
  <c r="M21" i="5"/>
  <c r="M22" i="5"/>
  <c r="M23" i="5"/>
  <c r="M24" i="5"/>
  <c r="M25" i="5"/>
  <c r="F37" i="5" l="1"/>
  <c r="F38" i="5"/>
  <c r="F35" i="5"/>
  <c r="F36" i="5"/>
  <c r="O26" i="5"/>
  <c r="J35" i="5"/>
  <c r="J36" i="5"/>
  <c r="J37" i="5"/>
  <c r="J38" i="5"/>
  <c r="J39" i="5"/>
  <c r="N18" i="5"/>
  <c r="N19" i="5"/>
  <c r="N25" i="5"/>
  <c r="J18" i="5"/>
  <c r="K18" i="5" s="1"/>
  <c r="J19" i="5"/>
  <c r="K19" i="5" s="1"/>
  <c r="J25" i="5"/>
  <c r="K25" i="5" s="1"/>
  <c r="L25" i="5" s="1"/>
  <c r="F12" i="5" l="1"/>
  <c r="L19" i="5"/>
  <c r="L18" i="5"/>
  <c r="K36" i="5" s="1"/>
  <c r="L36" i="5" s="1"/>
  <c r="L39" i="5"/>
  <c r="O22" i="5"/>
  <c r="N22" i="5"/>
  <c r="N23" i="5"/>
  <c r="N24" i="5"/>
  <c r="J20" i="5"/>
  <c r="K20" i="5" s="1"/>
  <c r="L20" i="5" s="1"/>
  <c r="K37" i="5" s="1"/>
  <c r="L37" i="5" s="1"/>
  <c r="J21" i="5"/>
  <c r="K21" i="5" s="1"/>
  <c r="L21" i="5" s="1"/>
  <c r="K34" i="10"/>
  <c r="L34" i="10" s="1"/>
  <c r="K35" i="10"/>
  <c r="L35" i="10" s="1"/>
  <c r="L36" i="10"/>
  <c r="L37" i="10"/>
  <c r="L38" i="10"/>
  <c r="G53" i="10"/>
  <c r="L15" i="14"/>
  <c r="K15" i="14"/>
  <c r="J15" i="14"/>
  <c r="L16" i="14"/>
  <c r="K16" i="14"/>
  <c r="J16" i="14"/>
  <c r="L17" i="14"/>
  <c r="K17" i="14"/>
  <c r="J17" i="14"/>
  <c r="L18" i="14"/>
  <c r="K18" i="14"/>
  <c r="J18" i="14"/>
  <c r="L19" i="14"/>
  <c r="K19" i="14"/>
  <c r="J19" i="14"/>
  <c r="L20" i="14"/>
  <c r="K20" i="14"/>
  <c r="J20" i="14"/>
  <c r="L21" i="14"/>
  <c r="K21" i="14"/>
  <c r="J21" i="14"/>
  <c r="G16" i="12"/>
  <c r="G17" i="12"/>
  <c r="G18" i="12"/>
  <c r="G19" i="12"/>
  <c r="G20" i="12"/>
  <c r="G21" i="12"/>
  <c r="G22" i="12"/>
  <c r="G23" i="12"/>
  <c r="G24" i="12"/>
  <c r="G25" i="12"/>
  <c r="G26" i="12"/>
  <c r="G27" i="12"/>
  <c r="G28" i="12"/>
  <c r="G29" i="12"/>
  <c r="G30" i="12"/>
  <c r="G31" i="12"/>
  <c r="G32" i="12"/>
  <c r="G33" i="12"/>
  <c r="G34" i="12"/>
  <c r="G35" i="12"/>
  <c r="I13" i="7"/>
  <c r="J13" i="7" s="1"/>
  <c r="K13" i="7" s="1"/>
  <c r="I14" i="7"/>
  <c r="J14" i="7" s="1"/>
  <c r="K14" i="7" s="1"/>
  <c r="K15" i="7"/>
  <c r="K16" i="7"/>
  <c r="K17" i="7"/>
  <c r="K18" i="7"/>
  <c r="K38" i="10"/>
  <c r="K37" i="10"/>
  <c r="H18" i="7"/>
  <c r="I18" i="7"/>
  <c r="J18" i="7"/>
  <c r="H17" i="7"/>
  <c r="I17" i="7"/>
  <c r="J17" i="7"/>
  <c r="H16" i="7"/>
  <c r="I16" i="7"/>
  <c r="J16" i="7"/>
  <c r="F68" i="12"/>
  <c r="H15" i="7"/>
  <c r="I15" i="7"/>
  <c r="J15" i="7"/>
  <c r="F53" i="10"/>
  <c r="K36" i="10"/>
  <c r="J24" i="5"/>
  <c r="K24" i="5" s="1"/>
  <c r="L24" i="5" s="1"/>
  <c r="F57" i="12"/>
  <c r="F58" i="12"/>
  <c r="F59" i="12"/>
  <c r="F60" i="12"/>
  <c r="F61" i="12"/>
  <c r="F62" i="12"/>
  <c r="F63" i="12"/>
  <c r="F64" i="12"/>
  <c r="F65" i="12"/>
  <c r="F66" i="12"/>
  <c r="F67" i="12"/>
  <c r="C40" i="13"/>
  <c r="J22" i="5"/>
  <c r="K22" i="5" s="1"/>
  <c r="L22" i="5" s="1"/>
  <c r="N21" i="5"/>
  <c r="J23" i="5"/>
  <c r="K23" i="5" s="1"/>
  <c r="L23" i="5" s="1"/>
  <c r="E46" i="12"/>
  <c r="B49" i="12"/>
  <c r="B48" i="12"/>
  <c r="B51" i="12"/>
  <c r="B50" i="12"/>
  <c r="H36" i="13"/>
  <c r="F36" i="13"/>
  <c r="D60" i="13"/>
  <c r="H14" i="7"/>
  <c r="H13" i="7"/>
  <c r="C182" i="4"/>
  <c r="C177" i="4"/>
  <c r="C176" i="4"/>
  <c r="C175" i="4"/>
  <c r="C174" i="4"/>
  <c r="C173" i="4"/>
  <c r="C172" i="4"/>
  <c r="C171" i="4"/>
  <c r="C170" i="4"/>
  <c r="C169" i="4"/>
  <c r="C168" i="4"/>
  <c r="C167" i="4"/>
  <c r="M15" i="14" l="1"/>
  <c r="D10" i="14" s="1"/>
  <c r="D12" i="10"/>
  <c r="E59" i="13" s="1"/>
  <c r="K35" i="5"/>
  <c r="L35" i="5" s="1"/>
  <c r="K38" i="5"/>
  <c r="L38" i="5" s="1"/>
  <c r="C46" i="12"/>
  <c r="G12" i="5"/>
  <c r="O25" i="5"/>
  <c r="O23" i="5"/>
  <c r="O24" i="5"/>
  <c r="N20" i="5"/>
  <c r="C13" i="12"/>
  <c r="C8" i="7"/>
  <c r="E58" i="13" s="1"/>
  <c r="C8" i="12" l="1"/>
  <c r="E57" i="13" s="1"/>
  <c r="D12" i="5"/>
  <c r="E55" i="13" s="1"/>
  <c r="E56" i="13"/>
  <c r="O18" i="5"/>
  <c r="O21" i="5"/>
  <c r="O19" i="5"/>
  <c r="O20" i="5"/>
  <c r="E60" i="13" l="1"/>
  <c r="E62" i="13" l="1"/>
  <c r="C69" i="13" s="1"/>
  <c r="D62" i="13"/>
  <c r="B65"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Darlene Steward</author>
  </authors>
  <commentList>
    <comment ref="D59" authorId="0" shapeId="0" xr:uid="{00000000-0006-0000-0000-000001000000}">
      <text>
        <r>
          <rPr>
            <b/>
            <sz val="9"/>
            <color rgb="FF000000"/>
            <rFont val="Calibri"/>
            <family val="2"/>
          </rPr>
          <t>This is the total of the petroleum reduction from the three idle reduction methods available in the Alternative Compliance Planning Tool: Truck Stop Electrification, Idling Time Reduction, and Onboard IR.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<sst xmlns="http://schemas.openxmlformats.org/spreadsheetml/2006/main" count="920" uniqueCount="434">
  <si>
    <t>Fuel Type</t>
  </si>
  <si>
    <t xml:space="preserve">CNG </t>
  </si>
  <si>
    <t xml:space="preserve">E85 </t>
  </si>
  <si>
    <t>Fuel Measurement Unit</t>
  </si>
  <si>
    <t>Conversion Factor</t>
  </si>
  <si>
    <t>GGE Calculation</t>
  </si>
  <si>
    <t>B100</t>
  </si>
  <si>
    <t>Gallons</t>
  </si>
  <si>
    <t>Gallons @ 2400 psi</t>
  </si>
  <si>
    <t>Gallons @ 3600 psi</t>
  </si>
  <si>
    <t>Gallons @ 3000 psi</t>
  </si>
  <si>
    <t>Hundred cubic feet</t>
  </si>
  <si>
    <t>Diesel</t>
  </si>
  <si>
    <t>kWh</t>
  </si>
  <si>
    <t>Gasoline</t>
  </si>
  <si>
    <t>GGE = Gasoline gal</t>
  </si>
  <si>
    <t>kg</t>
  </si>
  <si>
    <t>LNG</t>
  </si>
  <si>
    <t>LPG</t>
  </si>
  <si>
    <t>GGE = B100 gal x 1.017</t>
  </si>
  <si>
    <t>GGE = CNG gal (@ 2400 psi ) x 0.18</t>
  </si>
  <si>
    <t>GGE = CNG gal (@ 3600 psi) x 0.27</t>
  </si>
  <si>
    <t>GGE = CNG gal (@ 3000 psi) x 0.225</t>
  </si>
  <si>
    <t>GGE = CNG ccf x 0.83</t>
  </si>
  <si>
    <t>GGE = Diesel gal x 1.147</t>
  </si>
  <si>
    <t>GGE = E85 gal x 0.72</t>
  </si>
  <si>
    <t>GGE = Ele kWh x 0.03</t>
  </si>
  <si>
    <r>
      <t>GGE = H</t>
    </r>
    <r>
      <rPr>
        <sz val="6.5"/>
        <color rgb="FF363435"/>
        <rFont val="Arial Unicode MS"/>
        <family val="2"/>
      </rPr>
      <t xml:space="preserve">2 </t>
    </r>
    <r>
      <rPr>
        <sz val="11"/>
        <color rgb="FF363435"/>
        <rFont val="Arial Unicode MS"/>
        <family val="2"/>
      </rPr>
      <t>kg x 0.992</t>
    </r>
  </si>
  <si>
    <r>
      <t>GGE = H</t>
    </r>
    <r>
      <rPr>
        <sz val="6.5"/>
        <color rgb="FF363435"/>
        <rFont val="Arial Unicode MS"/>
        <family val="2"/>
      </rPr>
      <t xml:space="preserve">2 </t>
    </r>
    <r>
      <rPr>
        <sz val="11"/>
        <color rgb="FF363435"/>
        <rFont val="Arial Unicode MS"/>
        <family val="2"/>
      </rPr>
      <t>gal x 0.249</t>
    </r>
  </si>
  <si>
    <t>GGE = LNG gal x 0.66</t>
  </si>
  <si>
    <t>GGE = LPG gal x 0.74</t>
  </si>
  <si>
    <t>CNG (2400 psi)</t>
  </si>
  <si>
    <t>CNG (3600 psi)</t>
  </si>
  <si>
    <t>CNG (3000 psi)</t>
  </si>
  <si>
    <t>CNG (ccf)</t>
  </si>
  <si>
    <t>Electric</t>
  </si>
  <si>
    <t>Gallons @ 14.7 psi and -234˚F</t>
  </si>
  <si>
    <t>Fuel_List</t>
  </si>
  <si>
    <t>ACV_Fuel_Lookup</t>
  </si>
  <si>
    <t>Fuel List Value</t>
  </si>
  <si>
    <t>CNG_Lookup</t>
  </si>
  <si>
    <t>DSL</t>
  </si>
  <si>
    <t>H2</t>
  </si>
  <si>
    <t>Pseries</t>
  </si>
  <si>
    <t>H2_Lookup</t>
  </si>
  <si>
    <t>Add</t>
  </si>
  <si>
    <t>Hydrogen (gas)</t>
  </si>
  <si>
    <t>Hydrogen (liq)</t>
  </si>
  <si>
    <t>E_85</t>
  </si>
  <si>
    <t>VMT_Calculation_Method</t>
  </si>
  <si>
    <t>Vehicle Records</t>
  </si>
  <si>
    <t>Estimate Based on Similar Vehicles</t>
  </si>
  <si>
    <t>Guess</t>
  </si>
  <si>
    <t>Fuel Units</t>
  </si>
  <si>
    <t>GGE</t>
  </si>
  <si>
    <t>Parameter</t>
  </si>
  <si>
    <t>Value</t>
  </si>
  <si>
    <t>Source</t>
  </si>
  <si>
    <t>Fuel Economy (FE) (in mpg) (cont.)</t>
  </si>
  <si>
    <t>Transaction Date</t>
  </si>
  <si>
    <t>GGE Conversion Factor</t>
  </si>
  <si>
    <t>Fuel Economy of Replaced Vehicle (miles/GGE)</t>
  </si>
  <si>
    <t>Reduce Vehicle Miles Traveled</t>
  </si>
  <si>
    <t>Reduce Idling</t>
  </si>
  <si>
    <t>Tank or dispenser</t>
  </si>
  <si>
    <t>Fuel Additions Date</t>
  </si>
  <si>
    <t>Total Fuel Use</t>
  </si>
  <si>
    <t>Conv_Fuel_Lookup</t>
  </si>
  <si>
    <t>Replaced Vehicles</t>
  </si>
  <si>
    <t>All Electric</t>
  </si>
  <si>
    <t>Plug-in Hybrid</t>
  </si>
  <si>
    <t>Percent_Alt_Fuel</t>
  </si>
  <si>
    <t>Fuel_Percent</t>
  </si>
  <si>
    <t>All_Alt</t>
  </si>
  <si>
    <t>no_Alt</t>
  </si>
  <si>
    <t>plugin_Alt</t>
  </si>
  <si>
    <t>user_percent</t>
  </si>
  <si>
    <t>Alternative Fuel Use (GGE)</t>
  </si>
  <si>
    <t>Conventional Fuel Use (GGE)</t>
  </si>
  <si>
    <t>B20</t>
  </si>
  <si>
    <t>Vehicle Type</t>
  </si>
  <si>
    <t>Total</t>
  </si>
  <si>
    <t>Percent B100 in Biodiesel Blend</t>
  </si>
  <si>
    <t>Fuel Additions Amount (gallons)</t>
  </si>
  <si>
    <t>Vehicles</t>
  </si>
  <si>
    <t>Fuel Economy of Vehicle (miles/GGE)</t>
  </si>
  <si>
    <t>GGE of Petroleum Reduction (GGE/year)</t>
  </si>
  <si>
    <t>Total Petroleum Reduction</t>
  </si>
  <si>
    <t>Idle_VehicleType</t>
  </si>
  <si>
    <t>Passenger Car (Ford Focus)</t>
  </si>
  <si>
    <t>Passenger Car (Volkswagen Jetta)</t>
  </si>
  <si>
    <t>Passenger Car (Ford Crown Victoria)</t>
  </si>
  <si>
    <t>Medium Heavy Truck</t>
  </si>
  <si>
    <t>Delivery Truck</t>
  </si>
  <si>
    <t>Tow Truck</t>
  </si>
  <si>
    <t>Transit Bus</t>
  </si>
  <si>
    <t>Combination Truck</t>
  </si>
  <si>
    <t>Bucket Truck</t>
  </si>
  <si>
    <t>Tractor-Semitrailer</t>
  </si>
  <si>
    <t>Class</t>
  </si>
  <si>
    <t>Engine Size (l)</t>
  </si>
  <si>
    <t>GVWR (lb)</t>
  </si>
  <si>
    <t>6 - 7</t>
  </si>
  <si>
    <t>7</t>
  </si>
  <si>
    <t>8</t>
  </si>
  <si>
    <t>G</t>
  </si>
  <si>
    <t>D</t>
  </si>
  <si>
    <t>2</t>
  </si>
  <si>
    <t>4.6</t>
  </si>
  <si>
    <t>5-7</t>
  </si>
  <si>
    <t>-</t>
  </si>
  <si>
    <t>6 - 10</t>
  </si>
  <si>
    <t>19,700 - 26,000</t>
  </si>
  <si>
    <t>19,500</t>
  </si>
  <si>
    <t>26,000</t>
  </si>
  <si>
    <t>23,000 - 33,000</t>
  </si>
  <si>
    <t>30,000</t>
  </si>
  <si>
    <t>32,000</t>
  </si>
  <si>
    <t>37,000</t>
  </si>
  <si>
    <t>80,000</t>
  </si>
  <si>
    <t>No Load Idling Fuel Use (gal/h)</t>
  </si>
  <si>
    <t>Passenger Car (Ford Crown Victoria) (Class 1, Fuel - G, Engine l - 4.6, GVWR - lb)</t>
  </si>
  <si>
    <t>With Load Idling Fuel Use (gal/h)</t>
  </si>
  <si>
    <t>with load</t>
  </si>
  <si>
    <t>Load Selection</t>
  </si>
  <si>
    <t>without load</t>
  </si>
  <si>
    <t>blank</t>
  </si>
  <si>
    <t>Passenger Car (Ford Focus) (Class 1, Fuel - G, Engine l - 2, GVWR - lb)</t>
  </si>
  <si>
    <t>Passenger Car (Volkswagen Jetta) (Class 1, Fuel - D, Engine l - 2, GVWR - lb)</t>
  </si>
  <si>
    <t>Medium Heavy Truck (Class 6, Fuel - G, Engine l - 5-7, GVWR 19,700 - 26,000 lb)</t>
  </si>
  <si>
    <t>Delivery Truck (Class 5, Fuel - D, Engine l - -, GVWR 19,500 lb)</t>
  </si>
  <si>
    <t>Tow Truck (Class 6, Fuel - D, Engine l - -, GVWR 26,000 lb)</t>
  </si>
  <si>
    <t>Medium Heavy Truck (Class 6 - 7, Fuel - D, Engine l - 6 - 10, GVWR 23,000 - 33,000 lb)</t>
  </si>
  <si>
    <t>Transit Bus (Class 7, Fuel - D, Engine l - -, GVWR 30,000 lb)</t>
  </si>
  <si>
    <t>Combination Truck (Class 7, Fuel - D, Engine l - -, GVWR 32,000 lb)</t>
  </si>
  <si>
    <t>Bucket Truck (Class 8, Fuel - D, Engine l - -, GVWR 37,000 lb)</t>
  </si>
  <si>
    <t>Tractor-Semitrailer (Class 8, Fuel - D, Engine l - -, GVWR 80,000 lb)</t>
  </si>
  <si>
    <t>Idle_fuel_lists_load</t>
  </si>
  <si>
    <t>Idle_fuel_lists_noload</t>
  </si>
  <si>
    <t>Vehicle</t>
  </si>
  <si>
    <t>*Number of Vehicles</t>
  </si>
  <si>
    <t>*Average VMT of Replaced Vehicles (miles/year/vehicle)</t>
  </si>
  <si>
    <t>*Fuel Used in Replaced Vehicle</t>
  </si>
  <si>
    <t>*Fuel Type for Replacement Vehicle</t>
  </si>
  <si>
    <t>GAS</t>
  </si>
  <si>
    <t>*Make and Model of Vehicles with Reduced Idling</t>
  </si>
  <si>
    <t>*Select Closest Vehicle Type</t>
  </si>
  <si>
    <t>*Average Previous Idling Time of Vehicles (hours/day)</t>
  </si>
  <si>
    <t>*Average New Idling Time of Vehicles (hours/day)</t>
  </si>
  <si>
    <t>*Fuel Used in Vehicle</t>
  </si>
  <si>
    <t>*Select with or without Load</t>
  </si>
  <si>
    <t>*Work Days per Year</t>
  </si>
  <si>
    <t>Selection</t>
  </si>
  <si>
    <t>default</t>
  </si>
  <si>
    <t>*Vehicle Type (select from list)</t>
  </si>
  <si>
    <t>*Vehicle Being Replaced</t>
  </si>
  <si>
    <t>*Fuel Economy of Replacement Vehicle (miles/GGE)</t>
  </si>
  <si>
    <t>This page would be hidden</t>
  </si>
  <si>
    <t>Petroleum Reduction Method</t>
  </si>
  <si>
    <t>Planned GGE Reduction</t>
  </si>
  <si>
    <t>Actual GGE Reduction</t>
  </si>
  <si>
    <t>Number Remaining</t>
  </si>
  <si>
    <t>Vehicle List Rows</t>
  </si>
  <si>
    <t>Vehicles Remaining</t>
  </si>
  <si>
    <t>GGE reduction from petroleum displacement or use of alternative fuels</t>
  </si>
  <si>
    <t>TrkStop_hours</t>
  </si>
  <si>
    <t>TrkStop_idle_fuel</t>
  </si>
  <si>
    <t>Petroleum Reduction (GGE/year)</t>
  </si>
  <si>
    <t>This idle reduction method allows drivers to plug their vehicles into truck stop stalls that power necessary systems without engine idling</t>
  </si>
  <si>
    <t>This idle reduction method refers to times that the vehicle engine is turned off instead of left idling.</t>
  </si>
  <si>
    <t>Reduce idling for vehicles such as delivery vans</t>
  </si>
  <si>
    <t>Reduce idling through truck stop electrification</t>
  </si>
  <si>
    <t>Reduce idling through onboard idle reduction</t>
  </si>
  <si>
    <t>Onboard_Equip</t>
  </si>
  <si>
    <t>*Truck Stop Number of Bays</t>
  </si>
  <si>
    <t>*Hours/year Each Bay is used</t>
  </si>
  <si>
    <t>*Truck Fuel Type</t>
  </si>
  <si>
    <t>*Idle Fuel Use (gal/h/vehicle)</t>
  </si>
  <si>
    <t>*</t>
  </si>
  <si>
    <t>The cover letter is signed by a senior official</t>
  </si>
  <si>
    <t>Petroleum Reduction Requirement (GGE)</t>
  </si>
  <si>
    <t>Fleet Identification (* required field)</t>
  </si>
  <si>
    <t>Point of Contact Information</t>
  </si>
  <si>
    <t>Fleet ID Number:</t>
  </si>
  <si>
    <t>POC ID Number:</t>
  </si>
  <si>
    <t>*Fleet Name:</t>
  </si>
  <si>
    <t>*Name:</t>
  </si>
  <si>
    <t>Local name:</t>
  </si>
  <si>
    <t>Mailing Address (if different from fleet mailing address)</t>
  </si>
  <si>
    <t>Parent Organization:</t>
  </si>
  <si>
    <t>*Fleet Type:</t>
  </si>
  <si>
    <t>*Mailing Address:</t>
  </si>
  <si>
    <t>City:</t>
  </si>
  <si>
    <t>State:</t>
  </si>
  <si>
    <t>Zip (xxxxx-xxxx):</t>
  </si>
  <si>
    <t>*City:</t>
  </si>
  <si>
    <t>*Phone:</t>
  </si>
  <si>
    <t>*State:</t>
  </si>
  <si>
    <t>Fax:</t>
  </si>
  <si>
    <t>*Zip (xxxxx-xxxx):</t>
  </si>
  <si>
    <t>*E-Mail:</t>
  </si>
  <si>
    <t>(Parent Organization is parent company name, if applicable, for alternative fuel provider fleet or state name for state fleet)</t>
  </si>
  <si>
    <t>Reporting Model Year</t>
  </si>
  <si>
    <t>to</t>
  </si>
  <si>
    <t xml:space="preserve"> (gallons biodiesel blend)</t>
  </si>
  <si>
    <t>(% B100)</t>
  </si>
  <si>
    <t>*Make and Model of Vehicle</t>
  </si>
  <si>
    <t>*Average Previous VMT of Vehicles (miles/year/vehicle)</t>
  </si>
  <si>
    <t>*Average New VMT of Vehicles (miles/year/vehicle)</t>
  </si>
  <si>
    <t>*Fuel Economy of Vehicle (miles/fuel unit)</t>
  </si>
  <si>
    <t>Review/Edit Biodiesel Blends sheet</t>
  </si>
  <si>
    <t>Review/Edit VMT Reduction sheet</t>
  </si>
  <si>
    <t>Review/Edit Idle Time Reduction sheet</t>
  </si>
  <si>
    <t>Make &amp; Model/description</t>
  </si>
  <si>
    <t>*Idling Fuel Use (gal/h)</t>
  </si>
  <si>
    <t>Calculated values. Do not enter data in cells shaded in this color</t>
  </si>
  <si>
    <t>Enter data in cells with this color shading</t>
  </si>
  <si>
    <t>This idle reduction method includes APUs and other onboard power sources that can heat, cool, or provide electricity to, for example, a truck cab or bucket without engine idling.</t>
  </si>
  <si>
    <t>Copy your ACV inventory or other data here for reference if helpful</t>
  </si>
  <si>
    <t>Supporting documentation is attached</t>
  </si>
  <si>
    <t>Fuel Amount (gallons)</t>
  </si>
  <si>
    <t>Enter the planned GGE reduction from your approved AC Waiver Request for each petroleum reduction method below. Values for your actual GGE reduction will be filled in automatically based on your input on the appropriate worksheet within this Excel Workbook for each petroleum reduction method. Click on the hyperlink to the right of each category to review or edit your input on the individual worksheets within this Excel file.</t>
  </si>
  <si>
    <t>Strategy: Use Biodiesel Blends</t>
  </si>
  <si>
    <t>Strategy: Reduce Vehicle Miles Traveled</t>
  </si>
  <si>
    <t>Strategy: Reduce Idling (Reduce idling for vehicles such as delivery vans, truck stop electrification, and onboard idle reduction)</t>
  </si>
  <si>
    <t>If you need more space, add sheet rows between this line and the last entry row in the table above</t>
  </si>
  <si>
    <t>PHEV20</t>
  </si>
  <si>
    <t>Total B100 Fuel Use</t>
  </si>
  <si>
    <t>I certify that all of the biodiesel reported in this table was used in the fleet's on-road diesel vehicles or alternative fuel non-road equipment</t>
  </si>
  <si>
    <t>Petroleum Used in Replaced Vehicle (GGE/year/ vehicle)</t>
  </si>
  <si>
    <t>Petroleum Used in Replaced Vehicles (GGE/year) [see Replaced Vehicles table above for details]</t>
  </si>
  <si>
    <t>Remaining Number of Vehicles of This Type To Be Replaced</t>
  </si>
  <si>
    <t>Idle Reduction see idling worksheet.xls (http://www.transportation.anl.gov/engines/idling.html)</t>
  </si>
  <si>
    <t>Replacement Vehicles</t>
  </si>
  <si>
    <t>*Make and Model of Replacement Vehicles</t>
  </si>
  <si>
    <t>*Average VMT of Replacement Vehicles (miles/year/ vehicle)</t>
  </si>
  <si>
    <t>Use Alternative Fuel in New or Existing Alternative Fuel Vehicles</t>
  </si>
  <si>
    <t>*Make and Model of Alternative Fuel Vehicle</t>
  </si>
  <si>
    <t>*Number of Alternative Fuel Vehicles</t>
  </si>
  <si>
    <t>*Average VMT of Vehicles (miles/year/ vehicle)</t>
  </si>
  <si>
    <t>Strategy: Use alternative fuels in new or existing alternative fuel vehicles</t>
  </si>
  <si>
    <t>General_Fuel_List Table</t>
  </si>
  <si>
    <t>Tbl_Fuel_Conversions</t>
  </si>
  <si>
    <t>Idle_table</t>
  </si>
  <si>
    <t>Trucks - Manufacturer's gross vehicle weight (lbs)</t>
  </si>
  <si>
    <t>Light-duty trucks</t>
  </si>
  <si>
    <t>Transportation Energy Data Book 33rd ed.(TEDB) (Davis, et al 2014) Table 5.5 2002 Vehicle Inventory and Use Survey</t>
  </si>
  <si>
    <t>1) 6000 lbs and less</t>
  </si>
  <si>
    <t>2) 6,001–10,000 lbs</t>
  </si>
  <si>
    <t>light-duty truck average</t>
  </si>
  <si>
    <t>Medium-duty trucks</t>
  </si>
  <si>
    <t>3) 10,000–14,000 lbs</t>
  </si>
  <si>
    <t>4) 14,001–16,000 lbs</t>
  </si>
  <si>
    <t>5) 16,001–19,500 lbs</t>
  </si>
  <si>
    <t>6) 19,501–26,000 lbs</t>
  </si>
  <si>
    <t>medium-duty truck average</t>
  </si>
  <si>
    <t>Heavy-duty trucks</t>
  </si>
  <si>
    <t>7) 26,001–33,000 lbs</t>
  </si>
  <si>
    <t>8) 33001 lbs and over</t>
  </si>
  <si>
    <t>heavy-duty truck average</t>
  </si>
  <si>
    <t>Light-duty trucks 1) 6000 lbs and less</t>
  </si>
  <si>
    <t>Light-duty trucks 2) 6,001–10,000 lbs</t>
  </si>
  <si>
    <t>Medium-duty trucks 3) 10,000–14,000 lbs</t>
  </si>
  <si>
    <t>Medium-duty trucks 4) 14,001–16,000 lbs</t>
  </si>
  <si>
    <t>Medium-duty trucks 5) 16,001–19,500 lbs</t>
  </si>
  <si>
    <t>Medium-duty trucks 6) 19,501–26,000 lbs</t>
  </si>
  <si>
    <t>Heavy-duty trucks 7) 26,001–33,000 lbs</t>
  </si>
  <si>
    <t>Heavy-duty trucks 8) 33001 lbs and over</t>
  </si>
  <si>
    <t>Van</t>
  </si>
  <si>
    <t>Petroleum Used in Typical Conventional Vehicle of this Size</t>
  </si>
  <si>
    <t>Maximum Credit (GGE)
[Maximum of column K or column M - column L]</t>
  </si>
  <si>
    <t>*Percent of total fuel use that is alternative fuel</t>
  </si>
  <si>
    <t>Use alternative fuels in existing or new vehicles</t>
  </si>
  <si>
    <t>Review/Edit Use Alternative Fuels sheet</t>
  </si>
  <si>
    <t>*Number of Replacement Vehicles</t>
  </si>
  <si>
    <t>Car</t>
  </si>
  <si>
    <t>Car SUV</t>
  </si>
  <si>
    <t>Truck Sport utility vehicle (SUV)</t>
  </si>
  <si>
    <t>Pickup</t>
  </si>
  <si>
    <t>*Conventional vehicle category closest in size and weight to the new/existing AFV (select from list)</t>
  </si>
  <si>
    <t xml:space="preserve"> </t>
  </si>
  <si>
    <t>*Fuel Economy of AFV (miles/GGE)</t>
  </si>
  <si>
    <t>Required field</t>
  </si>
  <si>
    <t>KEY</t>
  </si>
  <si>
    <t>Error or unchecked required checkbox</t>
  </si>
  <si>
    <t>Information about working with the tables in this workbook</t>
  </si>
  <si>
    <t xml:space="preserve">To get started, type over the example vehicle. To add a vehicle beyond the end of the table, start typing in the cell below the last entry. A new row will be added automatically. </t>
  </si>
  <si>
    <t>If you need more space, add sheet rows above this line and below the last entry row in the table above</t>
  </si>
  <si>
    <t xml:space="preserve">To get started, type over the example. To add a vehicle beyond the end of the table, start typing in the cell below the last entry. A new row will be added automatically. </t>
  </si>
  <si>
    <t xml:space="preserve">To get started, type over the example. To add another row, start typing in the cell below the last entry. A new row will be added automatically. </t>
  </si>
  <si>
    <t>To get started, type over the example. To add a row beyond the end of the table, start typing in the cell below the last entry.</t>
  </si>
  <si>
    <t>Select a value from the dropdown list</t>
  </si>
  <si>
    <r>
      <t>✪</t>
    </r>
    <r>
      <rPr>
        <sz val="14"/>
        <color theme="5" tint="-0.499984740745262"/>
        <rFont val="Calibri"/>
        <family val="2"/>
        <scheme val="minor"/>
      </rPr>
      <t xml:space="preserve"> Click here for instructions for copying and pasting data into the Biodiesel Transactions table</t>
    </r>
  </si>
  <si>
    <t>Biodiesel Transactions - Use this table if you have fuel transactions for each vehicle</t>
  </si>
  <si>
    <t>Biodiesel Tank - Use this table if you have relevant documentation for an onsite tank or dispenser</t>
  </si>
  <si>
    <t>Use of biodiesel blends</t>
  </si>
  <si>
    <t>Default values from idling worksheet.xls (http://www.transportation.anl.gov/engines/idling.html). 7/17/2014</t>
  </si>
  <si>
    <t>On this worksheet, you will earn credit either for displacement of the petroleum that would have been used in a typical conventional vehicle of the same size as the alternative fuel vehicle or for the alternative fuel your fleet used in the alternative fuel vehicle, whichever is greater. 
Default values from the Transportation Energy Data Book 33rd ed.(TEDB) (Davis, et al 2014) Tables, 4.7, 4.9, and 5.5 2002 Vehicle Inventory and Use Survey and the GREET transportation model (https://greet.es.anl.gov).</t>
  </si>
  <si>
    <t>Strategy: Replace vehicles to improve fuel efficiency</t>
  </si>
  <si>
    <t>*Fuel Economy of Replaced Vehicle (miles/gallon)</t>
  </si>
  <si>
    <t>Petroleum Reduction from replacement of vehicles (GGE)</t>
  </si>
  <si>
    <t>Replace conventional vehicles (Fuel Economy Improvement sections of the Petroleum Reduction Plan)</t>
  </si>
  <si>
    <t xml:space="preserve">To get started, type over the example vehicles. To add a vehicle beyond the end of the table, start typing in the cell below the last entry. A new row will be added automatically. </t>
  </si>
  <si>
    <t>GGE reduction from replacing vehicles with more efficient models</t>
  </si>
  <si>
    <t>Enter information about the vehicles you have removed from your fleet on the top, Replaced Vehicles, table. Enter information about the new, replacement vehicles on the bottom, Replacement Vehicles table. Each replacement vehicle must replace a specific vehicle from the Replaced Vehicles table. If you replace a conventionally fueled vehicle with an alternative fuel vehicle, don't use this worksheet; use the "Use Alternative Fuels" worksheet.  High efficiency conventional vehicles (e.g., HEVs) can be added on this worksheet if they are replacing vehicles with lower efficiency.
Default values are derived from the Transportation Energy Data Book 33rd ed.(TEDB) (Davis, et al 2014) Tables, 4.7, 4.9, and 5.5 2002 Vehicle Inventory and Use Survey and the GREET transportation model (https://greet.es.anl.gov).</t>
  </si>
  <si>
    <t>Use this section to document VMT reduction for your fleet. VMT reduction must be the result of a specific plan to reduce VMT. Examples include encouraging telecommuting or instituting a car or van pool. Incidental VMT reductions that are not the direct result of a planned strategy to reduce VMT cannot be counted for AC credit.</t>
  </si>
  <si>
    <t>Review/Edit Improve Fuel Efficiency sheet</t>
  </si>
  <si>
    <t>*Model Year Retired</t>
  </si>
  <si>
    <t>*Briefly describe your fleet's VMT reduction strategy in the box below. Attach a copy of your company VMT reduction policy or plan when you submit your report.</t>
  </si>
  <si>
    <t xml:space="preserve">Use this worksheet if you are using alternative fuel in a vehicle already in your fleet or a new alternative fuel vehicle. Plug-in hybrid electric vehicles (PHEVs) also should be added on this worksheet. </t>
  </si>
  <si>
    <t>Click on the highlighted text below to go to the appropriate section for each idle reduction strategy</t>
  </si>
  <si>
    <t>*Description/unique ID</t>
  </si>
  <si>
    <t>*Make and Model of Replaced Vehicles</t>
  </si>
  <si>
    <t>Alternative Compliance Reporting Spreadsheet</t>
  </si>
  <si>
    <t>TBL_Replacement_Veh_MPG (TEDB: Edition 39, Table 4.9, Production, Production Shares, and Production-Weighted Fuel Economies of New Domestic and Import Cars, Model Years 1975-2020, Updated April 2021; 2020 production-weighted estimates. https://tedb.ornl.gov/wp-content/uploads/2021/02/TEDB_Ed_39.pdf) for LD vehicles, TEDB: Edition 39, Table 5.6, Truck Harmonic Mean Fuel Economy by Size Class, 1992, 1997, and 2002, 2002 values, for MHD vehicles)</t>
  </si>
  <si>
    <t>Shuttle/Paratransit Van</t>
  </si>
  <si>
    <t>Utility Cargo Van</t>
  </si>
  <si>
    <t>Shuttle/Paratransit Bus</t>
  </si>
  <si>
    <t>Bucket/Aerial Truck</t>
  </si>
  <si>
    <t>Use this worksheet if your fleet is replacing conventional vehicles with more fuel efficient models of conventional vehicles. If you are using alternative fuel in a new or existing alternative fuel vehicle, use the "Use Alternative Fuels" worksheet. Use the "Use Alternative Fuels" worksheet for plug-in hybrid electric vehicles (PHEVs).</t>
  </si>
  <si>
    <r>
      <t xml:space="preserve">Use of biodiesel blends in existing vehicles. Use the </t>
    </r>
    <r>
      <rPr>
        <b/>
        <sz val="14"/>
        <rFont val="Calibri"/>
        <family val="2"/>
        <scheme val="minor"/>
      </rPr>
      <t>Biodiesel Transactions</t>
    </r>
    <r>
      <rPr>
        <sz val="14"/>
        <rFont val="Calibri"/>
        <family val="2"/>
        <scheme val="minor"/>
      </rPr>
      <t xml:space="preserve"> (TOP) table on this worksheet if you have transactions for each vehicle. Use the </t>
    </r>
    <r>
      <rPr>
        <b/>
        <sz val="14"/>
        <rFont val="Calibri"/>
        <family val="2"/>
        <scheme val="minor"/>
      </rPr>
      <t>Biodiesel Tank</t>
    </r>
    <r>
      <rPr>
        <sz val="14"/>
        <rFont val="Calibri"/>
        <family val="2"/>
        <scheme val="minor"/>
      </rPr>
      <t xml:space="preserve"> (BOTTOM) table on this worksheet if you have records for biodiesel purchased to fill an onsite tank. You can use both tables if you have separate records for BOTH vehicles that are not fueled from the onsite tank AND VEHICLES FUELED FROM THE ONSITE TANK. However, take care not to double count biodiesel use.
 </t>
    </r>
  </si>
  <si>
    <t>Twenty employees committed to telecommuting one day per week. We estimated that each employee avoided a commute of 30 miles round-trip for 50 days in the year. We verified the telecommuting via timesheet tracking.</t>
  </si>
  <si>
    <t>TBL_Replaced_Veh_MPG  (TEDB: Edition 39, Table 4.9, Production, Production Shares, and Production-Weighted Fuel Economies of New Domestic and Import Cars, Model Years 1975-2020, Updated April 2021; 2020 production-weighted estimates. https://tedb.ornl.gov/wp-content/uploads/2021/02/TEDB_Ed_39.pdf) for LD vehicles, TEDB: Edition 39, Table 5.6, Truck Harmonic Mean Fuel Economy by Size Class, 1992, 1997, and 2002, 2002 values, for MHD vehicles)</t>
  </si>
  <si>
    <t>Default values for older cars = Average FE for vehicles that were new (?) years ago</t>
  </si>
  <si>
    <t>Users should select vehicles with FE greater than the median FE for new vehicles in the category (updated for MY2022 reporting)</t>
  </si>
  <si>
    <t>DOE recommends purchasing vehicles with a combined MPG &gt; 30 (median FE for new cars) to obtain credit for improving fuel efficiency.</t>
  </si>
  <si>
    <t>DOE recommends purchasing vehicles with a combined MPG &gt; 23 (median FE for new car SUVs) to obtain credit for improving fuel efficiency.</t>
  </si>
  <si>
    <t>DOE recommends purchasing vehicles with a combined MPG &gt; 19 (median FE for new LD pickup trucks) to obtain credit for improving fuel efficiency.</t>
  </si>
  <si>
    <t>DOE recommends purchasing vehicles with a combined MPG &gt; 15 (median FE for new truck SUVs) to obtain credit for improving fuel efficiency.</t>
  </si>
  <si>
    <t>DOE recommends purchasing vehicles with a combined MPG &gt; 22 (median FE for new LD vans) to obtain credit for improving fuel efficiency.</t>
  </si>
  <si>
    <t>DOE recommends purchasing vehicles with a combined MPG &gt; 17.6 (median FE for new trucks &lt; 6,000 lb) to obtain credit for improving fuel efficiency.</t>
  </si>
  <si>
    <t>DOE recommends purchasing vehicles with a combined MPG &gt; 5.7 (median FE for new Class 8 trucks) to obtain credit for improving fuel efficiency.</t>
  </si>
  <si>
    <t>DOE recommends purchasing vehicles with a combined MPG &gt; 6.4 (median FE for new Class 7 trucks) to obtain credit for improving fuel efficiency.</t>
  </si>
  <si>
    <t>DOE recommends purchasing vehicles with a combined MPG &gt; 7 (median FE for new Class 6 trucks) to obtain credit for improving fuel efficiency.</t>
  </si>
  <si>
    <t>DOE recommends purchasing vehicles with a combined MPG &gt; 7.9 (median FE for new Class 5 trucks) to obtain credit for improving fuel efficiency.</t>
  </si>
  <si>
    <t>DOE recommends purchasing vehicles with a combined MPG &gt; 8.5 (median FE for new Class 4 trucks) to obtain credit for improving fuel efficiency.</t>
  </si>
  <si>
    <t>DOE recommends purchasing vehicles with a combined MPG &gt; 10.5 (median FE for new Class 3 trucks) to obtain credit for improving fuel efficiency.</t>
  </si>
  <si>
    <t>DOE recommends purchasing vehicles with a combined MPG &gt; 14.3 (median FE for new Class 2 trucks) to obtain credit for improving fuel efficiency.</t>
  </si>
  <si>
    <t>DOE recommends purchasing vehicles with a combined MPG &gt; 14.5 (median FE for new Shuttle Vans) to obtain credit for improving fuel efficiency.</t>
  </si>
  <si>
    <t>DOE recommends purchasing vehicles with a combined MPG &gt; 10 (median FE for new utility vans) to obtain credit for improving fuel efficiency.</t>
  </si>
  <si>
    <t>DOE recommends purchasing vehicles with a combined MPG &gt; 6.7 (median FE for new shuttle buses) to obtain credit for improving fuel efficiency.</t>
  </si>
  <si>
    <t>DOE recommends purchasing vehicles with a combined MPG &gt; 3.7 (median FE for new bucket trucks) to obtain credit for improving fuel efficiency.</t>
  </si>
  <si>
    <t>Vehicle Description</t>
  </si>
  <si>
    <t>Vehicle Weight Class</t>
  </si>
  <si>
    <t>Type of Idle Reduction Equipment</t>
  </si>
  <si>
    <t>APU Fuel Type</t>
  </si>
  <si>
    <t>Number of vehicles</t>
  </si>
  <si>
    <t>hours / year PTO use</t>
  </si>
  <si>
    <t>IDLE TIME REDUCTION</t>
  </si>
  <si>
    <t>TBL_OnboardIdle_fuels</t>
  </si>
  <si>
    <t>Direct-fired heater</t>
  </si>
  <si>
    <t>Direct heat with thermal storage cooling</t>
  </si>
  <si>
    <t>Battery</t>
  </si>
  <si>
    <t>B2</t>
  </si>
  <si>
    <t>B5</t>
  </si>
  <si>
    <t>B10</t>
  </si>
  <si>
    <t>TBL_APU_GGE_Savings</t>
  </si>
  <si>
    <t>TBL_OnboardIR</t>
  </si>
  <si>
    <t>Onboard IR Type</t>
  </si>
  <si>
    <t>Data Source and Notes (electric APU)</t>
  </si>
  <si>
    <t>see calcs for Odyne HD Hybrid https://www.nrel.gov/transportation/assets/pdfs/67116.pdf</t>
  </si>
  <si>
    <t xml:space="preserve"> (https://www.epa.gov/sites/default/files/2017-01/documents/emission-rates-extended-idle-aux-power-units.pdf p24 = 0.35 diesel gal/h APU fuel use. i.e., diesel APU fuel use is based on a hotelling application for long-haul trucks </t>
  </si>
  <si>
    <t>Source: http://www.transportation.anl.gov/engines/idling_tools.html idling_worksheet.xls (downloaded 7/17/2014), same table in 2023, average of loaded and unloaded idle fuel use for tractor-semitrailer (0.64, 1.15 resp).  https://doi.org/10.1021/es900186e. calculated values for diesel fuel savings using a diesel APU for AC and appliances for long-haul trucks. Used Fleet A (single driver), all stop durations = 2130 h/yr, average of 241 and 281 galD/yr savings</t>
  </si>
  <si>
    <t>TBL_OnboardIR_hrs</t>
  </si>
  <si>
    <t>Default hrs/year of PTO, assuming 250 days per year in all cases</t>
  </si>
  <si>
    <t>Hours</t>
  </si>
  <si>
    <t>Default</t>
  </si>
  <si>
    <t>Blank</t>
  </si>
  <si>
    <t>Frey, H. C. and P.-Y. Kuo (2009). Real-World Energy Use and Emission Rates for Idling Long-Haul Trucks</t>
  </si>
  <si>
    <t>and Selected Idle Reduction Technologies. Journal of the Air &amp; Waste Management Association, 59 (7),</t>
  </si>
  <si>
    <t>857-864. DOI: 10.3155/1047-3289.59.7.857</t>
  </si>
  <si>
    <t>GGE/h fuel savings use with total hours per year. See AC Planning FY2024 blank spreadsheet (Lists sheet) for calculations and additional sources</t>
  </si>
  <si>
    <t>The U.S. Office of Management and Budget (OMB) approved this data collection under control number 1910-5101. You are not required to respond to this collection of information unless it displays a currently valid OMB control number. Reporting takes about five hours per session. For help with reporting, access guidance documents at http://www.eere.energy.gov/vehiclesandfuels/epact/guidance_documents.html. OMB #: 1910-5101 | Expires: 7/31/2025</t>
  </si>
  <si>
    <t>Biodiesel (B20)</t>
  </si>
  <si>
    <t>Ethanol (E85)</t>
  </si>
  <si>
    <t>IMPROVE FUEL EFFICIENCY</t>
  </si>
  <si>
    <t>USE ALTERNATIVE FUELS</t>
  </si>
  <si>
    <t>Average Fuel Economy (miles per gasoline gallon equivalent [GGE])</t>
  </si>
  <si>
    <t>MOVES Category</t>
  </si>
  <si>
    <t>Gasoline Hybrid Electric Vehicle (HEV)</t>
  </si>
  <si>
    <t>Gasoline Plug-in Hybrid Electric Vehicle (PHEV)</t>
  </si>
  <si>
    <t>Gasoline Extended Range Electric Vehicle (EREV)</t>
  </si>
  <si>
    <t>All-Electric Vehicle (EV)</t>
  </si>
  <si>
    <t>Gaseous Hydrogen (G.H2) Fuel Cell Vehicle (FCV)</t>
  </si>
  <si>
    <t>Diesel Hybrid Electric Vehicle (HEV)</t>
  </si>
  <si>
    <t>Diesel Hydraulic Hybrid (HHV)</t>
  </si>
  <si>
    <t>Biodiesel (B100)</t>
  </si>
  <si>
    <t>Renewable Diesel (RD20)</t>
  </si>
  <si>
    <t>Renewable Diesel (RD100)</t>
  </si>
  <si>
    <t>Propane (LPG)</t>
  </si>
  <si>
    <t>Compressed Natural Gas (CNG)</t>
  </si>
  <si>
    <t>Liquefied Natural Gas (LNG)</t>
  </si>
  <si>
    <t>LNG / Diesel Pilot Ignition</t>
  </si>
  <si>
    <t>Long Haul Freight Truck</t>
  </si>
  <si>
    <t>Combination Long-Haul Truck</t>
  </si>
  <si>
    <t>Regional Haul Freight Truck</t>
  </si>
  <si>
    <t>Combination Short-Haul Truck</t>
  </si>
  <si>
    <t>Delivery Straight Truck</t>
  </si>
  <si>
    <t>Single Unit Long-Haul Truck</t>
  </si>
  <si>
    <t>Delivery Step Van</t>
  </si>
  <si>
    <t>Single Unit Short-Haul Truck</t>
  </si>
  <si>
    <t>Dump Truck</t>
  </si>
  <si>
    <t>Snow Plow/Sander</t>
  </si>
  <si>
    <t>Street Sweeper</t>
  </si>
  <si>
    <t>Fire Truck</t>
  </si>
  <si>
    <t>Refuse Truck</t>
  </si>
  <si>
    <t>School Bus</t>
  </si>
  <si>
    <t>Medium-Duty Pickup Truck</t>
  </si>
  <si>
    <t>Light Commercial Truck</t>
  </si>
  <si>
    <t>Ambulance</t>
  </si>
  <si>
    <t>Light-Duty Pickup Truck</t>
  </si>
  <si>
    <t>Passenger Truck</t>
  </si>
  <si>
    <t>SUV</t>
  </si>
  <si>
    <t>Taxi SUV</t>
  </si>
  <si>
    <t>Police SUV</t>
  </si>
  <si>
    <t>Passenger Car</t>
  </si>
  <si>
    <t>Taxi Car</t>
  </si>
  <si>
    <t>Police Car</t>
  </si>
  <si>
    <t>Maintenance Utility Vehicle</t>
  </si>
  <si>
    <t>AFLEET Tool downloaded 8/8/2023</t>
  </si>
  <si>
    <t>https://greet.es.anl.gov/index.php?content=registration&amp;from=afleet</t>
  </si>
  <si>
    <t>LD Vehicle APU</t>
  </si>
  <si>
    <t>M/HD Vehicle APU</t>
  </si>
  <si>
    <t>1.0 GGE/h LD vehicle w/load idle fuel use (see ref. for police cruiser) - battery APU fuel use of 0.6 gge/h, also assumed 4h/day APU use based on ref for police, https://www.anl.gov/sites/www/files/2018-10/Idling_EmergencyFactSheet050715.pdf</t>
  </si>
  <si>
    <t>TBL_AFLEET_GGE</t>
  </si>
  <si>
    <t>Vocation</t>
  </si>
  <si>
    <t>*Fuel Type for AFV</t>
  </si>
  <si>
    <t>AFLEET Fuels List</t>
  </si>
  <si>
    <t>TBL_AFLEET_Fuels</t>
  </si>
  <si>
    <t>Default Percent of Fuel Use</t>
  </si>
  <si>
    <t>Lookup Percent of fuel use for selected fuel</t>
  </si>
  <si>
    <t>Fuel Economy of conventional vehicles in the category selected (miles/GGE)</t>
  </si>
  <si>
    <t>The BEV FE is shown in this column to simplify calculation of convetional and alternative fuel use.</t>
  </si>
  <si>
    <t>Gasoline PHEV original AFLEET values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</si>
</sst>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_-* #,##0.00_-;\-* #,##0.00_-;_-* &quot;-&quot;??_-;_-@_-"/>
    <numFmt numFmtId="165" formatCode="0.0"/>
    <numFmt numFmtId="166" formatCode="#,##0.0"/>
    <numFmt numFmtId="167" formatCode="_(* #,##0_);_(* \(#,##0\);_(* &quot;-&quot;??_);_(@_)"/>
    <numFmt numFmtId="168" formatCode="[&lt;=9999999]###\-####;\(###\)\ ###\-####"/>
  </numFmts>
  <fonts count="44">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2"/>
      <color rgb="FF3F3F3F"/>
      <name val="Calibri"/>
      <family val="2"/>
      <scheme val="minor"/>
    </font>
    <font>
      <u/>
      <sz val="10"/>
      <color theme="10"/>
      <name val="MS Sans Serif"/>
      <family val="2"/>
    </font>
    <font>
      <u/>
      <sz val="12"/>
      <color theme="11"/>
      <name val="Calibri"/>
      <family val="2"/>
      <scheme val="minor"/>
    </font>
    <font>
      <sz val="11"/>
      <color rgb="FF363435"/>
      <name val="Arial Unicode MS"/>
      <family val="2"/>
    </font>
    <font>
      <sz val="6.5"/>
      <color rgb="FF363435"/>
      <name val="Arial Unicode MS"/>
      <family val="2"/>
    </font>
    <font>
      <b/>
      <sz val="11"/>
      <name val="Times New Roman"/>
      <family val="1"/>
    </font>
    <font>
      <b/>
      <sz val="14"/>
      <color theme="1"/>
      <name val="Calibri"/>
      <family val="2"/>
      <scheme val="minor"/>
    </font>
    <font>
      <b/>
      <sz val="12"/>
      <color theme="1"/>
      <name val="Calibri"/>
      <family val="2"/>
      <scheme val="minor"/>
    </font>
    <font>
      <b/>
      <sz val="14"/>
      <name val="Calibri"/>
      <family val="2"/>
      <scheme val="minor"/>
    </font>
    <font>
      <b/>
      <sz val="12"/>
      <name val="Calibri"/>
      <family val="2"/>
      <scheme val="minor"/>
    </font>
    <font>
      <sz val="12"/>
      <name val="Calibri"/>
      <family val="2"/>
      <scheme val="minor"/>
    </font>
    <font>
      <b/>
      <sz val="18"/>
      <name val="Calibri"/>
      <family val="2"/>
      <scheme val="minor"/>
    </font>
    <font>
      <sz val="14"/>
      <color theme="1"/>
      <name val="Calibri"/>
      <family val="2"/>
      <scheme val="minor"/>
    </font>
    <font>
      <sz val="14"/>
      <name val="Calibri"/>
      <family val="2"/>
      <scheme val="minor"/>
    </font>
    <font>
      <sz val="12"/>
      <color theme="0"/>
      <name val="Calibri"/>
      <family val="2"/>
      <scheme val="minor"/>
    </font>
    <font>
      <sz val="10"/>
      <name val="Calibri"/>
      <family val="2"/>
      <scheme val="minor"/>
    </font>
    <font>
      <b/>
      <sz val="11"/>
      <color rgb="FF3F3F3F"/>
      <name val="Calibri"/>
      <family val="2"/>
      <scheme val="minor"/>
    </font>
    <font>
      <sz val="11"/>
      <name val="Calibri"/>
      <family val="2"/>
      <scheme val="minor"/>
    </font>
    <font>
      <sz val="11"/>
      <color rgb="FF3F3F3F"/>
      <name val="Calibri"/>
      <family val="2"/>
      <scheme val="minor"/>
    </font>
    <font>
      <b/>
      <sz val="11"/>
      <name val="Calibri"/>
      <family val="2"/>
      <scheme val="minor"/>
    </font>
    <font>
      <b/>
      <sz val="11"/>
      <color theme="1"/>
      <name val="Calibri"/>
      <family val="2"/>
      <scheme val="minor"/>
    </font>
    <font>
      <b/>
      <sz val="11"/>
      <color rgb="FF363435"/>
      <name val="Arial Unicode MS"/>
      <family val="2"/>
    </font>
    <font>
      <b/>
      <i/>
      <sz val="12"/>
      <color theme="1"/>
      <name val="Calibri"/>
      <family val="2"/>
      <scheme val="minor"/>
    </font>
    <font>
      <b/>
      <sz val="12"/>
      <color rgb="FF008000"/>
      <name val="Calibri"/>
      <family val="2"/>
      <scheme val="minor"/>
    </font>
    <font>
      <sz val="12"/>
      <color rgb="FF008000"/>
      <name val="Calibri"/>
      <family val="2"/>
      <scheme val="minor"/>
    </font>
    <font>
      <sz val="14"/>
      <color theme="5" tint="-0.499984740745262"/>
      <name val="Zapf Dingbats"/>
      <family val="2"/>
    </font>
    <font>
      <sz val="14"/>
      <color theme="5" tint="-0.499984740745262"/>
      <name val="Calibri"/>
      <family val="2"/>
      <scheme val="minor"/>
    </font>
    <font>
      <sz val="12"/>
      <color theme="5" tint="-0.499984740745262"/>
      <name val="Calibri"/>
      <family val="2"/>
      <scheme val="minor"/>
    </font>
    <font>
      <sz val="11"/>
      <color theme="0" tint="-0.499984740745262"/>
      <name val="Calibri"/>
      <family val="2"/>
      <scheme val="minor"/>
    </font>
    <font>
      <sz val="12"/>
      <color rgb="FF632523"/>
      <name val="Calibri"/>
      <family val="2"/>
      <scheme val="minor"/>
    </font>
    <font>
      <b/>
      <sz val="16"/>
      <name val="Calibri"/>
      <family val="2"/>
      <scheme val="minor"/>
    </font>
    <font>
      <sz val="24"/>
      <color theme="0"/>
      <name val="Calibri"/>
      <family val="2"/>
      <scheme val="minor"/>
    </font>
    <font>
      <b/>
      <sz val="9"/>
      <color rgb="FF000000"/>
      <name val="Calibri"/>
      <family val="2"/>
    </font>
    <font>
      <u/>
      <sz val="12"/>
      <color theme="10"/>
      <name val="MS Sans Serif"/>
      <family val="2"/>
    </font>
    <font>
      <b/>
      <sz val="18"/>
      <color theme="1"/>
      <name val="Calibri"/>
      <family val="2"/>
      <scheme val="minor"/>
    </font>
    <font>
      <sz val="13"/>
      <color rgb="FF000000"/>
      <name val="Helvetica Neue"/>
      <family val="2"/>
    </font>
    <font>
      <sz val="12"/>
      <color theme="1"/>
      <name val="Calibri"/>
      <family val="2"/>
      <scheme val="minor"/>
    </font>
    <font>
      <sz val="12"/>
      <color theme="0" tint="-0.34998626667073579"/>
      <name val="Calibri"/>
      <family val="2"/>
      <scheme val="minor"/>
    </font>
  </fonts>
  <fills count="14">
    <fill>
      <patternFill patternType="none"/>
    </fill>
    <fill>
      <patternFill patternType="gray125"/>
    </fill>
    <fill>
      <patternFill patternType="solid">
        <fgColor rgb="FFF2F2F2"/>
      </patternFill>
    </fill>
    <fill>
      <patternFill patternType="solid">
        <fgColor theme="6" tint="0.59999389629810485"/>
        <bgColor indexed="64"/>
      </patternFill>
    </fill>
    <fill>
      <patternFill patternType="solid">
        <fgColor rgb="FFFFCC66"/>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9" tint="0.39997558519241921"/>
        <bgColor theme="5" tint="-0.499984740745262"/>
      </patternFill>
    </fill>
    <fill>
      <patternFill patternType="solid">
        <fgColor rgb="FFFABF8F"/>
        <bgColor rgb="FF000000"/>
      </patternFill>
    </fill>
    <fill>
      <patternFill patternType="solid">
        <fgColor theme="6" tint="0.79998168889431442"/>
        <bgColor indexed="64"/>
      </patternFill>
    </fill>
    <fill>
      <patternFill patternType="solid">
        <fgColor theme="6" tint="0.39997558519241921"/>
        <bgColor indexed="64"/>
      </patternFill>
    </fill>
    <fill>
      <patternFill patternType="darkTrellis">
        <bgColor theme="4" tint="0.79998168889431442"/>
      </patternFill>
    </fill>
    <fill>
      <patternFill patternType="solid">
        <fgColor theme="0" tint="-0.34998626667073579"/>
        <bgColor indexed="64"/>
      </patternFill>
    </fill>
  </fills>
  <borders count="83">
    <border>
      <left/>
      <right/>
      <top/>
      <bottom/>
      <diagonal/>
    </border>
    <border>
      <left style="thin">
        <color rgb="FF3F3F3F"/>
      </left>
      <right style="thin">
        <color rgb="FF3F3F3F"/>
      </right>
      <top style="thin">
        <color rgb="FF3F3F3F"/>
      </top>
      <bottom style="thin">
        <color rgb="FF3F3F3F"/>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rgb="FF006D95"/>
      </left>
      <right style="medium">
        <color rgb="FF363435"/>
      </right>
      <top style="medium">
        <color rgb="FF006D95"/>
      </top>
      <bottom style="medium">
        <color rgb="FF006D95"/>
      </bottom>
      <diagonal/>
    </border>
    <border>
      <left/>
      <right style="medium">
        <color rgb="FF363435"/>
      </right>
      <top style="medium">
        <color rgb="FF006D95"/>
      </top>
      <bottom style="medium">
        <color rgb="FF006D95"/>
      </bottom>
      <diagonal/>
    </border>
    <border>
      <left/>
      <right style="medium">
        <color rgb="FF006D95"/>
      </right>
      <top style="medium">
        <color rgb="FF006D95"/>
      </top>
      <bottom style="medium">
        <color rgb="FF006D95"/>
      </bottom>
      <diagonal/>
    </border>
    <border>
      <left style="medium">
        <color rgb="FF006D95"/>
      </left>
      <right style="medium">
        <color rgb="FF363435"/>
      </right>
      <top/>
      <bottom style="medium">
        <color rgb="FF848688"/>
      </bottom>
      <diagonal/>
    </border>
    <border>
      <left/>
      <right style="medium">
        <color rgb="FF363435"/>
      </right>
      <top/>
      <bottom style="medium">
        <color rgb="FF848688"/>
      </bottom>
      <diagonal/>
    </border>
    <border>
      <left/>
      <right style="medium">
        <color rgb="FF006D95"/>
      </right>
      <top/>
      <bottom style="medium">
        <color rgb="FF848688"/>
      </bottom>
      <diagonal/>
    </border>
    <border>
      <left style="medium">
        <color rgb="FF006D95"/>
      </left>
      <right style="medium">
        <color rgb="FF363435"/>
      </right>
      <top/>
      <bottom style="medium">
        <color rgb="FF006D95"/>
      </bottom>
      <diagonal/>
    </border>
    <border>
      <left/>
      <right style="medium">
        <color rgb="FF363435"/>
      </right>
      <top/>
      <bottom style="medium">
        <color rgb="FF006D95"/>
      </bottom>
      <diagonal/>
    </border>
    <border>
      <left/>
      <right style="medium">
        <color rgb="FF006D95"/>
      </right>
      <top/>
      <bottom style="medium">
        <color rgb="FF006D95"/>
      </bottom>
      <diagonal/>
    </border>
    <border>
      <left/>
      <right/>
      <top/>
      <bottom style="medium">
        <color rgb="FF848688"/>
      </bottom>
      <diagonal/>
    </border>
    <border>
      <left/>
      <right style="thin">
        <color auto="1"/>
      </right>
      <top style="thin">
        <color auto="1"/>
      </top>
      <bottom style="thin">
        <color auto="1"/>
      </bottom>
      <diagonal/>
    </border>
    <border>
      <left/>
      <right/>
      <top/>
      <bottom style="medium">
        <color rgb="FF006D95"/>
      </bottom>
      <diagonal/>
    </border>
    <border>
      <left/>
      <right style="medium">
        <color rgb="FF363435"/>
      </right>
      <top/>
      <bottom/>
      <diagonal/>
    </border>
    <border>
      <left/>
      <right style="thin">
        <color auto="1"/>
      </right>
      <top style="thin">
        <color auto="1"/>
      </top>
      <bottom style="medium">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rgb="FF363435"/>
      </left>
      <right style="medium">
        <color rgb="FF363435"/>
      </right>
      <top/>
      <bottom style="medium">
        <color rgb="FF006D95"/>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style="medium">
        <color auto="1"/>
      </left>
      <right/>
      <top style="thin">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right/>
      <top/>
      <bottom style="medium">
        <color auto="1"/>
      </bottom>
      <diagonal/>
    </border>
    <border>
      <left/>
      <right/>
      <top style="thin">
        <color rgb="FF3F3F3F"/>
      </top>
      <bottom style="thin">
        <color rgb="FF3F3F3F"/>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thin">
        <color auto="1"/>
      </top>
      <bottom style="medium">
        <color auto="1"/>
      </bottom>
      <diagonal/>
    </border>
    <border>
      <left/>
      <right/>
      <top/>
      <bottom style="thin">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top/>
      <bottom style="thin">
        <color auto="1"/>
      </bottom>
      <diagonal/>
    </border>
    <border>
      <left/>
      <right style="medium">
        <color auto="1"/>
      </right>
      <top style="medium">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style="thin">
        <color auto="1"/>
      </bottom>
      <diagonal/>
    </border>
    <border>
      <left/>
      <right/>
      <top style="thin">
        <color auto="1"/>
      </top>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style="medium">
        <color rgb="FF3F3F3F"/>
      </left>
      <right/>
      <top style="medium">
        <color rgb="FF3F3F3F"/>
      </top>
      <bottom style="thin">
        <color rgb="FF3F3F3F"/>
      </bottom>
      <diagonal/>
    </border>
    <border>
      <left/>
      <right style="medium">
        <color rgb="FF3F3F3F"/>
      </right>
      <top style="medium">
        <color rgb="FF3F3F3F"/>
      </top>
      <bottom style="thin">
        <color rgb="FF3F3F3F"/>
      </bottom>
      <diagonal/>
    </border>
    <border>
      <left style="medium">
        <color rgb="FF3F3F3F"/>
      </left>
      <right/>
      <top style="thin">
        <color rgb="FF3F3F3F"/>
      </top>
      <bottom style="thin">
        <color rgb="FF3F3F3F"/>
      </bottom>
      <diagonal/>
    </border>
    <border>
      <left/>
      <right style="medium">
        <color rgb="FF3F3F3F"/>
      </right>
      <top style="thin">
        <color rgb="FF3F3F3F"/>
      </top>
      <bottom style="thin">
        <color rgb="FF3F3F3F"/>
      </bottom>
      <diagonal/>
    </border>
    <border>
      <left style="medium">
        <color rgb="FF3F3F3F"/>
      </left>
      <right/>
      <top style="thin">
        <color rgb="FF3F3F3F"/>
      </top>
      <bottom style="medium">
        <color rgb="FF3F3F3F"/>
      </bottom>
      <diagonal/>
    </border>
    <border>
      <left/>
      <right style="medium">
        <color rgb="FF3F3F3F"/>
      </right>
      <top style="thin">
        <color rgb="FF3F3F3F"/>
      </top>
      <bottom style="medium">
        <color rgb="FF3F3F3F"/>
      </bottom>
      <diagonal/>
    </border>
    <border>
      <left/>
      <right/>
      <top style="medium">
        <color rgb="FF3F3F3F"/>
      </top>
      <bottom style="thin">
        <color rgb="FF3F3F3F"/>
      </bottom>
      <diagonal/>
    </border>
    <border>
      <left/>
      <right/>
      <top style="thin">
        <color rgb="FF3F3F3F"/>
      </top>
      <bottom style="medium">
        <color rgb="FF3F3F3F"/>
      </bottom>
      <diagonal/>
    </border>
    <border>
      <left style="medium">
        <color rgb="FF3F3F3F"/>
      </left>
      <right/>
      <top style="medium">
        <color rgb="FF3F3F3F"/>
      </top>
      <bottom/>
      <diagonal/>
    </border>
    <border>
      <left/>
      <right/>
      <top style="medium">
        <color rgb="FF3F3F3F"/>
      </top>
      <bottom/>
      <diagonal/>
    </border>
    <border>
      <left/>
      <right style="medium">
        <color rgb="FF3F3F3F"/>
      </right>
      <top style="medium">
        <color rgb="FF3F3F3F"/>
      </top>
      <bottom/>
      <diagonal/>
    </border>
    <border>
      <left style="medium">
        <color rgb="FF3F3F3F"/>
      </left>
      <right/>
      <top/>
      <bottom/>
      <diagonal/>
    </border>
    <border>
      <left/>
      <right style="medium">
        <color rgb="FF3F3F3F"/>
      </right>
      <top/>
      <bottom/>
      <diagonal/>
    </border>
    <border>
      <left style="medium">
        <color rgb="FF3F3F3F"/>
      </left>
      <right/>
      <top/>
      <bottom style="medium">
        <color rgb="FF3F3F3F"/>
      </bottom>
      <diagonal/>
    </border>
    <border>
      <left/>
      <right/>
      <top/>
      <bottom style="medium">
        <color rgb="FF3F3F3F"/>
      </bottom>
      <diagonal/>
    </border>
    <border>
      <left/>
      <right style="medium">
        <color rgb="FF3F3F3F"/>
      </right>
      <top/>
      <bottom style="medium">
        <color rgb="FF3F3F3F"/>
      </bottom>
      <diagonal/>
    </border>
    <border>
      <left/>
      <right/>
      <top style="thick">
        <color rgb="FF3F3F3F"/>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medium">
        <color auto="1"/>
      </top>
      <bottom style="medium">
        <color auto="1"/>
      </bottom>
      <diagonal/>
    </border>
  </borders>
  <cellStyleXfs count="230">
    <xf numFmtId="0" fontId="0" fillId="0" borderId="0"/>
    <xf numFmtId="0" fontId="6" fillId="2" borderId="1" applyNumberFormat="0" applyAlignment="0" applyProtection="0"/>
    <xf numFmtId="0" fontId="7" fillId="0" borderId="0" applyNumberFormat="0" applyFill="0" applyBorder="0" applyAlignment="0" applyProtection="0">
      <alignment vertical="top"/>
      <protection locked="0"/>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9" fontId="5"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43" fontId="4"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cellStyleXfs>
  <cellXfs count="442">
    <xf numFmtId="0" fontId="0" fillId="0" borderId="0" xfId="0"/>
    <xf numFmtId="0" fontId="0" fillId="0" borderId="0" xfId="0" applyAlignment="1">
      <alignment wrapText="1"/>
    </xf>
    <xf numFmtId="0" fontId="9" fillId="0" borderId="13" xfId="0" applyFont="1" applyBorder="1" applyAlignment="1">
      <alignment vertical="center" wrapText="1"/>
    </xf>
    <xf numFmtId="0" fontId="9" fillId="0" borderId="14" xfId="0" applyFont="1" applyBorder="1" applyAlignment="1">
      <alignment vertical="center" wrapText="1"/>
    </xf>
    <xf numFmtId="0" fontId="9" fillId="0" borderId="14" xfId="0" applyFont="1" applyBorder="1" applyAlignment="1">
      <alignment horizontal="center" vertical="center" wrapText="1"/>
    </xf>
    <xf numFmtId="0" fontId="9" fillId="0" borderId="15" xfId="0" applyFont="1" applyBorder="1" applyAlignment="1">
      <alignment vertical="center" wrapText="1"/>
    </xf>
    <xf numFmtId="0" fontId="9" fillId="0" borderId="16" xfId="0" applyFont="1" applyBorder="1" applyAlignment="1">
      <alignment vertical="center" wrapText="1"/>
    </xf>
    <xf numFmtId="0" fontId="9" fillId="0" borderId="17" xfId="0" applyFont="1" applyBorder="1" applyAlignment="1">
      <alignment vertical="center" wrapText="1"/>
    </xf>
    <xf numFmtId="0" fontId="9" fillId="0" borderId="17" xfId="0" applyFont="1" applyBorder="1" applyAlignment="1">
      <alignment horizontal="center" vertical="center" wrapText="1"/>
    </xf>
    <xf numFmtId="0" fontId="9" fillId="0" borderId="18" xfId="0" applyFont="1" applyBorder="1" applyAlignment="1">
      <alignment vertical="center" wrapText="1"/>
    </xf>
    <xf numFmtId="0" fontId="11" fillId="0" borderId="10" xfId="0" applyFont="1" applyBorder="1" applyAlignment="1">
      <alignment vertical="center" wrapText="1"/>
    </xf>
    <xf numFmtId="0" fontId="11" fillId="0" borderId="11" xfId="0" applyFont="1" applyBorder="1" applyAlignment="1">
      <alignment vertical="center" wrapText="1"/>
    </xf>
    <xf numFmtId="0" fontId="11" fillId="0" borderId="11" xfId="0" applyFont="1" applyBorder="1" applyAlignment="1">
      <alignment horizontal="left" vertical="center" wrapText="1" indent="1"/>
    </xf>
    <xf numFmtId="0" fontId="11" fillId="0" borderId="12" xfId="0" applyFont="1" applyBorder="1" applyAlignment="1">
      <alignment vertical="center" wrapText="1"/>
    </xf>
    <xf numFmtId="0" fontId="12" fillId="0" borderId="0" xfId="0" applyFont="1" applyAlignment="1">
      <alignment wrapText="1"/>
    </xf>
    <xf numFmtId="0" fontId="9" fillId="0" borderId="19" xfId="0" applyFont="1" applyBorder="1" applyAlignment="1">
      <alignment vertical="center" wrapText="1"/>
    </xf>
    <xf numFmtId="0" fontId="11" fillId="0" borderId="17" xfId="0" applyFont="1" applyBorder="1" applyAlignment="1">
      <alignment vertical="center" wrapText="1"/>
    </xf>
    <xf numFmtId="0" fontId="11" fillId="0" borderId="21" xfId="0" applyFont="1" applyBorder="1" applyAlignment="1">
      <alignment vertical="center" wrapText="1"/>
    </xf>
    <xf numFmtId="0" fontId="9" fillId="0" borderId="22" xfId="0" applyFont="1" applyBorder="1" applyAlignment="1">
      <alignment vertical="center" wrapText="1"/>
    </xf>
    <xf numFmtId="0" fontId="9" fillId="0" borderId="0" xfId="0" applyFont="1" applyAlignment="1">
      <alignment vertical="center" wrapText="1"/>
    </xf>
    <xf numFmtId="0" fontId="11" fillId="0" borderId="26" xfId="0" applyFont="1" applyBorder="1" applyAlignment="1">
      <alignment vertical="center" wrapText="1"/>
    </xf>
    <xf numFmtId="9" fontId="0" fillId="0" borderId="0" xfId="15" applyFont="1"/>
    <xf numFmtId="0" fontId="0" fillId="0" borderId="0" xfId="15" applyNumberFormat="1" applyFont="1"/>
    <xf numFmtId="0" fontId="13" fillId="0" borderId="0" xfId="0" applyFont="1"/>
    <xf numFmtId="49" fontId="0" fillId="0" borderId="0" xfId="0" applyNumberFormat="1"/>
    <xf numFmtId="167" fontId="0" fillId="0" borderId="0" xfId="0" applyNumberFormat="1"/>
    <xf numFmtId="165" fontId="0" fillId="0" borderId="0" xfId="0" applyNumberFormat="1"/>
    <xf numFmtId="0" fontId="13" fillId="0" borderId="0" xfId="0" applyFont="1" applyAlignment="1">
      <alignment wrapText="1"/>
    </xf>
    <xf numFmtId="0" fontId="0" fillId="0" borderId="30" xfId="0" applyBorder="1" applyAlignment="1">
      <alignment horizontal="center" vertical="center" wrapText="1"/>
    </xf>
    <xf numFmtId="49" fontId="0" fillId="0" borderId="0" xfId="0" quotePrefix="1" applyNumberFormat="1"/>
    <xf numFmtId="0" fontId="0" fillId="0" borderId="0" xfId="0" applyAlignment="1">
      <alignment vertical="center"/>
    </xf>
    <xf numFmtId="0" fontId="14" fillId="0" borderId="0" xfId="0" applyFont="1" applyAlignment="1">
      <alignment vertical="center"/>
    </xf>
    <xf numFmtId="0" fontId="0" fillId="0" borderId="0" xfId="0" applyAlignment="1">
      <alignment horizontal="left" vertical="center"/>
    </xf>
    <xf numFmtId="0" fontId="15" fillId="0" borderId="0" xfId="0" applyFont="1" applyAlignment="1">
      <alignment vertical="center"/>
    </xf>
    <xf numFmtId="0" fontId="16" fillId="0" borderId="0" xfId="0" applyFont="1" applyAlignment="1">
      <alignment vertical="center"/>
    </xf>
    <xf numFmtId="0" fontId="17" fillId="0" borderId="0" xfId="0" applyFont="1" applyAlignment="1">
      <alignment vertical="center"/>
    </xf>
    <xf numFmtId="0" fontId="15" fillId="0" borderId="29" xfId="0" applyFont="1" applyBorder="1" applyAlignment="1">
      <alignment horizontal="center" vertical="center" wrapText="1"/>
    </xf>
    <xf numFmtId="0" fontId="13" fillId="0" borderId="30" xfId="0" applyFont="1" applyBorder="1" applyAlignment="1">
      <alignment horizontal="center" vertical="center" wrapText="1"/>
    </xf>
    <xf numFmtId="0" fontId="15" fillId="0" borderId="30" xfId="0" applyFont="1" applyBorder="1" applyAlignment="1">
      <alignment horizontal="center" vertical="center" wrapText="1"/>
    </xf>
    <xf numFmtId="0" fontId="15" fillId="0" borderId="31" xfId="0" applyFont="1" applyBorder="1" applyAlignment="1">
      <alignment horizontal="center" vertical="center" wrapText="1"/>
    </xf>
    <xf numFmtId="0" fontId="14" fillId="0" borderId="0" xfId="0" applyFont="1" applyAlignment="1">
      <alignment horizontal="left" vertical="center"/>
    </xf>
    <xf numFmtId="0" fontId="16" fillId="3" borderId="2" xfId="2" applyFont="1" applyFill="1" applyBorder="1" applyAlignment="1" applyProtection="1">
      <alignment horizontal="center" vertical="center" wrapText="1"/>
    </xf>
    <xf numFmtId="0" fontId="0" fillId="0" borderId="2" xfId="0" applyBorder="1"/>
    <xf numFmtId="0" fontId="13" fillId="0" borderId="2" xfId="0" applyFont="1" applyBorder="1"/>
    <xf numFmtId="0" fontId="13" fillId="0" borderId="24" xfId="0" applyFont="1" applyBorder="1" applyAlignment="1">
      <alignment vertical="top" wrapText="1"/>
    </xf>
    <xf numFmtId="0" fontId="13" fillId="0" borderId="25" xfId="0" applyFont="1" applyBorder="1" applyAlignment="1">
      <alignment vertical="top" wrapText="1"/>
    </xf>
    <xf numFmtId="0" fontId="13" fillId="0" borderId="33" xfId="0" applyFont="1" applyBorder="1" applyAlignment="1">
      <alignment vertical="top" wrapText="1"/>
    </xf>
    <xf numFmtId="0" fontId="20" fillId="0" borderId="0" xfId="0" applyFont="1" applyAlignment="1">
      <alignment horizontal="left" wrapText="1"/>
    </xf>
    <xf numFmtId="0" fontId="0" fillId="0" borderId="0" xfId="0" applyAlignment="1">
      <alignment horizontal="right" vertical="center"/>
    </xf>
    <xf numFmtId="0" fontId="16" fillId="3" borderId="2" xfId="0" applyFont="1" applyFill="1" applyBorder="1" applyAlignment="1">
      <alignment horizontal="left" vertical="center" wrapText="1"/>
    </xf>
    <xf numFmtId="0" fontId="0" fillId="3" borderId="2" xfId="0" applyFill="1" applyBorder="1" applyAlignment="1">
      <alignment horizontal="left"/>
    </xf>
    <xf numFmtId="0" fontId="0" fillId="3" borderId="2" xfId="0" applyFill="1" applyBorder="1" applyAlignment="1">
      <alignment horizontal="center"/>
    </xf>
    <xf numFmtId="0" fontId="0" fillId="3" borderId="6" xfId="0" applyFill="1" applyBorder="1" applyAlignment="1">
      <alignment horizontal="left"/>
    </xf>
    <xf numFmtId="0" fontId="0" fillId="3" borderId="6" xfId="0" applyFill="1" applyBorder="1" applyAlignment="1">
      <alignment horizontal="center"/>
    </xf>
    <xf numFmtId="0" fontId="21" fillId="0" borderId="0" xfId="0" applyFont="1" applyAlignment="1">
      <alignment vertical="center"/>
    </xf>
    <xf numFmtId="0" fontId="0" fillId="0" borderId="0" xfId="0" applyAlignment="1">
      <alignment horizontal="left" wrapText="1"/>
    </xf>
    <xf numFmtId="2" fontId="14" fillId="0" borderId="0" xfId="0" applyNumberFormat="1" applyFont="1" applyAlignment="1">
      <alignment vertical="center"/>
    </xf>
    <xf numFmtId="0" fontId="21" fillId="0" borderId="0" xfId="0" applyFont="1" applyAlignment="1">
      <alignment horizontal="center" vertical="center" wrapText="1"/>
    </xf>
    <xf numFmtId="0" fontId="23" fillId="0" borderId="0" xfId="0" applyFont="1"/>
    <xf numFmtId="14" fontId="22" fillId="3" borderId="2" xfId="1" applyNumberFormat="1" applyFont="1" applyFill="1" applyBorder="1" applyAlignment="1" applyProtection="1">
      <protection locked="0"/>
    </xf>
    <xf numFmtId="14" fontId="22" fillId="3" borderId="6" xfId="1" applyNumberFormat="1" applyFont="1" applyFill="1" applyBorder="1" applyAlignment="1" applyProtection="1">
      <protection locked="0"/>
    </xf>
    <xf numFmtId="9" fontId="23" fillId="3" borderId="24" xfId="15" applyFont="1" applyFill="1" applyBorder="1" applyAlignment="1">
      <alignment horizontal="center"/>
    </xf>
    <xf numFmtId="166" fontId="22" fillId="3" borderId="2" xfId="1" applyNumberFormat="1" applyFont="1" applyFill="1" applyBorder="1" applyAlignment="1" applyProtection="1">
      <protection locked="0"/>
    </xf>
    <xf numFmtId="0" fontId="15" fillId="0" borderId="24" xfId="0" applyFont="1" applyBorder="1" applyAlignment="1">
      <alignment horizontal="center" vertical="center" wrapText="1"/>
    </xf>
    <xf numFmtId="166" fontId="6" fillId="3" borderId="2" xfId="1" applyNumberFormat="1" applyFill="1" applyBorder="1" applyAlignment="1" applyProtection="1">
      <protection locked="0"/>
    </xf>
    <xf numFmtId="0" fontId="23" fillId="3" borderId="20" xfId="0" applyFont="1" applyFill="1" applyBorder="1" applyAlignment="1">
      <alignment horizontal="left"/>
    </xf>
    <xf numFmtId="0" fontId="15" fillId="0" borderId="25" xfId="0" applyFont="1" applyBorder="1" applyAlignment="1">
      <alignment horizontal="center" vertical="center" wrapText="1"/>
    </xf>
    <xf numFmtId="0" fontId="13" fillId="0" borderId="33" xfId="0" applyFont="1" applyBorder="1" applyAlignment="1">
      <alignment horizontal="center" vertical="center" wrapText="1"/>
    </xf>
    <xf numFmtId="0" fontId="23" fillId="3" borderId="35" xfId="0" applyFont="1" applyFill="1" applyBorder="1" applyAlignment="1">
      <alignment horizontal="left"/>
    </xf>
    <xf numFmtId="166" fontId="22" fillId="3" borderId="6" xfId="1" applyNumberFormat="1" applyFont="1" applyFill="1" applyBorder="1" applyAlignment="1" applyProtection="1">
      <protection locked="0"/>
    </xf>
    <xf numFmtId="9" fontId="6" fillId="3" borderId="2" xfId="15" applyFont="1" applyFill="1" applyBorder="1" applyAlignment="1" applyProtection="1">
      <protection locked="0"/>
    </xf>
    <xf numFmtId="0" fontId="19" fillId="0" borderId="0" xfId="0" applyFont="1" applyAlignment="1">
      <alignment horizontal="left" vertical="center"/>
    </xf>
    <xf numFmtId="0" fontId="19" fillId="0" borderId="0" xfId="0" applyFont="1" applyAlignment="1">
      <alignment horizontal="left" vertical="center" wrapText="1"/>
    </xf>
    <xf numFmtId="0" fontId="13" fillId="0" borderId="40" xfId="0" applyFont="1" applyBorder="1" applyAlignment="1">
      <alignment wrapText="1"/>
    </xf>
    <xf numFmtId="0" fontId="13" fillId="0" borderId="41" xfId="0" applyFont="1" applyBorder="1" applyAlignment="1">
      <alignment wrapText="1"/>
    </xf>
    <xf numFmtId="0" fontId="0" fillId="3" borderId="35" xfId="0" applyFill="1" applyBorder="1"/>
    <xf numFmtId="0" fontId="0" fillId="3" borderId="6" xfId="0" applyFill="1" applyBorder="1"/>
    <xf numFmtId="14" fontId="22" fillId="3" borderId="6" xfId="1" applyNumberFormat="1" applyFont="1" applyFill="1" applyBorder="1" applyProtection="1">
      <protection locked="0"/>
    </xf>
    <xf numFmtId="166" fontId="22" fillId="3" borderId="6" xfId="1" applyNumberFormat="1" applyFont="1" applyFill="1" applyBorder="1" applyProtection="1">
      <protection locked="0"/>
    </xf>
    <xf numFmtId="0" fontId="25" fillId="0" borderId="29" xfId="0" applyFont="1" applyBorder="1" applyAlignment="1">
      <alignment horizontal="center" vertical="center" wrapText="1"/>
    </xf>
    <xf numFmtId="0" fontId="26" fillId="0" borderId="30" xfId="0" applyFont="1" applyBorder="1" applyAlignment="1">
      <alignment horizontal="center" vertical="center" wrapText="1"/>
    </xf>
    <xf numFmtId="0" fontId="25" fillId="0" borderId="30" xfId="0" applyFont="1" applyBorder="1" applyAlignment="1">
      <alignment horizontal="center" vertical="center" wrapText="1"/>
    </xf>
    <xf numFmtId="0" fontId="25" fillId="0" borderId="31" xfId="0" applyFont="1" applyBorder="1" applyAlignment="1">
      <alignment horizontal="center" vertical="center" wrapText="1"/>
    </xf>
    <xf numFmtId="0" fontId="14" fillId="0" borderId="44" xfId="0" applyFont="1" applyBorder="1" applyAlignment="1">
      <alignment vertical="center"/>
    </xf>
    <xf numFmtId="0" fontId="0" fillId="0" borderId="45" xfId="0" applyBorder="1" applyAlignment="1">
      <alignment vertical="center"/>
    </xf>
    <xf numFmtId="0" fontId="0" fillId="0" borderId="48" xfId="0" applyBorder="1" applyAlignment="1">
      <alignment vertical="center"/>
    </xf>
    <xf numFmtId="0" fontId="14" fillId="0" borderId="54" xfId="0" applyFont="1" applyBorder="1" applyAlignment="1">
      <alignment vertical="center"/>
    </xf>
    <xf numFmtId="0" fontId="0" fillId="0" borderId="55" xfId="0" applyBorder="1"/>
    <xf numFmtId="0" fontId="14" fillId="0" borderId="55" xfId="0" applyFont="1" applyBorder="1" applyAlignment="1">
      <alignment vertical="center"/>
    </xf>
    <xf numFmtId="0" fontId="0" fillId="0" borderId="55" xfId="0" applyBorder="1" applyAlignment="1">
      <alignment vertical="center"/>
    </xf>
    <xf numFmtId="0" fontId="0" fillId="0" borderId="37" xfId="0" applyBorder="1" applyAlignment="1">
      <alignment vertical="center"/>
    </xf>
    <xf numFmtId="0" fontId="0" fillId="0" borderId="45" xfId="0" applyBorder="1"/>
    <xf numFmtId="0" fontId="0" fillId="0" borderId="48" xfId="0" applyBorder="1"/>
    <xf numFmtId="0" fontId="18" fillId="0" borderId="46" xfId="0" applyFont="1" applyBorder="1"/>
    <xf numFmtId="0" fontId="0" fillId="0" borderId="56" xfId="0" applyBorder="1"/>
    <xf numFmtId="0" fontId="0" fillId="0" borderId="57" xfId="0" applyBorder="1"/>
    <xf numFmtId="0" fontId="0" fillId="0" borderId="38" xfId="0" applyBorder="1"/>
    <xf numFmtId="0" fontId="0" fillId="0" borderId="58" xfId="0" applyBorder="1"/>
    <xf numFmtId="0" fontId="14" fillId="0" borderId="45" xfId="0" applyFont="1" applyBorder="1" applyAlignment="1">
      <alignment vertical="center"/>
    </xf>
    <xf numFmtId="0" fontId="14" fillId="0" borderId="46" xfId="0" applyFont="1" applyBorder="1" applyAlignment="1">
      <alignment vertical="center"/>
    </xf>
    <xf numFmtId="0" fontId="0" fillId="0" borderId="56" xfId="0" applyBorder="1" applyAlignment="1">
      <alignment vertical="center"/>
    </xf>
    <xf numFmtId="0" fontId="14" fillId="0" borderId="47" xfId="0" applyFont="1" applyBorder="1" applyAlignment="1">
      <alignment vertical="center"/>
    </xf>
    <xf numFmtId="1" fontId="14" fillId="0" borderId="43" xfId="0" applyNumberFormat="1" applyFont="1" applyBorder="1" applyAlignment="1">
      <alignment vertical="center"/>
    </xf>
    <xf numFmtId="0" fontId="14" fillId="0" borderId="43" xfId="0" applyFont="1" applyBorder="1" applyAlignment="1">
      <alignment vertical="center"/>
    </xf>
    <xf numFmtId="0" fontId="0" fillId="0" borderId="43" xfId="0" applyBorder="1" applyAlignment="1">
      <alignment vertical="center"/>
    </xf>
    <xf numFmtId="0" fontId="0" fillId="0" borderId="59" xfId="0" applyBorder="1" applyAlignment="1">
      <alignment vertical="center"/>
    </xf>
    <xf numFmtId="2" fontId="14" fillId="0" borderId="43" xfId="0" applyNumberFormat="1" applyFont="1" applyBorder="1" applyAlignment="1">
      <alignment vertical="center"/>
    </xf>
    <xf numFmtId="0" fontId="16" fillId="0" borderId="29" xfId="0" applyFont="1" applyBorder="1" applyAlignment="1">
      <alignment horizontal="center" vertical="center" wrapText="1"/>
    </xf>
    <xf numFmtId="0" fontId="16" fillId="0" borderId="30" xfId="0" applyFont="1" applyBorder="1" applyAlignment="1">
      <alignment horizontal="center" vertical="center" wrapText="1"/>
    </xf>
    <xf numFmtId="0" fontId="23" fillId="3" borderId="20" xfId="0" applyFont="1" applyFill="1" applyBorder="1" applyAlignment="1">
      <alignment horizontal="left" wrapText="1"/>
    </xf>
    <xf numFmtId="0" fontId="16" fillId="0" borderId="46" xfId="0" applyFont="1" applyBorder="1" applyAlignment="1">
      <alignment horizontal="right" vertical="center"/>
    </xf>
    <xf numFmtId="0" fontId="16" fillId="0" borderId="0" xfId="0" applyFont="1" applyAlignment="1">
      <alignment horizontal="right" vertical="center"/>
    </xf>
    <xf numFmtId="0" fontId="16" fillId="0" borderId="0" xfId="0" applyFont="1" applyAlignment="1">
      <alignment horizontal="left" vertical="center"/>
    </xf>
    <xf numFmtId="0" fontId="16" fillId="0" borderId="0" xfId="0" applyFont="1" applyAlignment="1">
      <alignment vertical="center" wrapText="1"/>
    </xf>
    <xf numFmtId="0" fontId="7" fillId="0" borderId="0" xfId="2" applyAlignment="1" applyProtection="1">
      <alignment wrapText="1"/>
    </xf>
    <xf numFmtId="0" fontId="0" fillId="0" borderId="29" xfId="0" applyBorder="1"/>
    <xf numFmtId="0" fontId="0" fillId="0" borderId="43" xfId="0" applyBorder="1"/>
    <xf numFmtId="0" fontId="9" fillId="0" borderId="0" xfId="0" applyFont="1" applyAlignment="1">
      <alignment horizontal="center" vertical="center" wrapText="1"/>
    </xf>
    <xf numFmtId="0" fontId="27" fillId="0" borderId="0" xfId="0" applyFont="1" applyAlignment="1">
      <alignment vertical="center" wrapText="1"/>
    </xf>
    <xf numFmtId="0" fontId="12" fillId="0" borderId="34" xfId="0" applyFont="1" applyBorder="1"/>
    <xf numFmtId="0" fontId="12" fillId="0" borderId="60" xfId="0" applyFont="1" applyBorder="1"/>
    <xf numFmtId="0" fontId="12" fillId="0" borderId="35" xfId="0" applyFont="1" applyBorder="1"/>
    <xf numFmtId="0" fontId="28" fillId="4" borderId="31" xfId="0" applyFont="1" applyFill="1" applyBorder="1"/>
    <xf numFmtId="0" fontId="0" fillId="4" borderId="0" xfId="0" applyFill="1"/>
    <xf numFmtId="0" fontId="0" fillId="4" borderId="29" xfId="0" applyFill="1" applyBorder="1"/>
    <xf numFmtId="0" fontId="29" fillId="0" borderId="31" xfId="0" applyFont="1" applyBorder="1" applyAlignment="1">
      <alignment wrapText="1"/>
    </xf>
    <xf numFmtId="0" fontId="0" fillId="0" borderId="31" xfId="0" applyBorder="1" applyAlignment="1">
      <alignment horizontal="left" indent="1"/>
    </xf>
    <xf numFmtId="0" fontId="30" fillId="0" borderId="31" xfId="0" applyFont="1" applyBorder="1" applyAlignment="1">
      <alignment horizontal="left"/>
    </xf>
    <xf numFmtId="0" fontId="0" fillId="0" borderId="33" xfId="0" applyBorder="1" applyAlignment="1">
      <alignment horizontal="left" indent="1"/>
    </xf>
    <xf numFmtId="0" fontId="0" fillId="0" borderId="46" xfId="0" applyBorder="1"/>
    <xf numFmtId="0" fontId="16" fillId="0" borderId="0" xfId="0" applyFont="1" applyAlignment="1">
      <alignment horizontal="left" vertical="top" wrapText="1"/>
    </xf>
    <xf numFmtId="0" fontId="0" fillId="0" borderId="46" xfId="0" applyBorder="1" applyAlignment="1">
      <alignment wrapText="1"/>
    </xf>
    <xf numFmtId="0" fontId="0" fillId="0" borderId="57" xfId="0" applyBorder="1" applyAlignment="1">
      <alignment wrapText="1"/>
    </xf>
    <xf numFmtId="0" fontId="0" fillId="0" borderId="46" xfId="0" applyBorder="1" applyAlignment="1">
      <alignment horizontal="left" wrapText="1"/>
    </xf>
    <xf numFmtId="0" fontId="0" fillId="0" borderId="56" xfId="0" applyBorder="1" applyAlignment="1">
      <alignment wrapText="1"/>
    </xf>
    <xf numFmtId="0" fontId="0" fillId="3" borderId="74" xfId="0" applyFill="1" applyBorder="1" applyAlignment="1">
      <alignment vertical="center"/>
    </xf>
    <xf numFmtId="0" fontId="12" fillId="0" borderId="74" xfId="0" applyFont="1" applyBorder="1" applyAlignment="1">
      <alignment horizontal="right" wrapText="1"/>
    </xf>
    <xf numFmtId="167" fontId="0" fillId="6" borderId="74" xfId="0" applyNumberFormat="1" applyFill="1" applyBorder="1" applyAlignment="1">
      <alignment wrapText="1"/>
    </xf>
    <xf numFmtId="0" fontId="0" fillId="5" borderId="74" xfId="0" applyFill="1" applyBorder="1" applyAlignment="1">
      <alignment wrapText="1"/>
    </xf>
    <xf numFmtId="0" fontId="0" fillId="7" borderId="76" xfId="0" applyFill="1" applyBorder="1" applyAlignment="1">
      <alignment wrapText="1"/>
    </xf>
    <xf numFmtId="0" fontId="33" fillId="7" borderId="0" xfId="0" applyFont="1" applyFill="1"/>
    <xf numFmtId="0" fontId="33" fillId="7" borderId="0" xfId="0" applyFont="1" applyFill="1" applyAlignment="1">
      <alignment horizontal="left" wrapText="1"/>
    </xf>
    <xf numFmtId="0" fontId="33" fillId="7" borderId="0" xfId="0" applyFont="1" applyFill="1" applyAlignment="1">
      <alignment vertical="center"/>
    </xf>
    <xf numFmtId="0" fontId="0" fillId="8" borderId="79" xfId="0" applyFill="1" applyBorder="1" applyAlignment="1">
      <alignment horizontal="left" vertical="center"/>
    </xf>
    <xf numFmtId="0" fontId="0" fillId="7" borderId="0" xfId="0" applyFill="1" applyAlignment="1">
      <alignment vertical="center"/>
    </xf>
    <xf numFmtId="167" fontId="14" fillId="6" borderId="0" xfId="82" applyNumberFormat="1" applyFont="1" applyFill="1" applyAlignment="1">
      <alignment horizontal="left" vertical="center"/>
    </xf>
    <xf numFmtId="167" fontId="0" fillId="6" borderId="2" xfId="82" applyNumberFormat="1" applyFont="1" applyFill="1" applyBorder="1" applyAlignment="1">
      <alignment horizontal="center"/>
    </xf>
    <xf numFmtId="167" fontId="0" fillId="6" borderId="6" xfId="82" applyNumberFormat="1" applyFont="1" applyFill="1" applyBorder="1" applyAlignment="1">
      <alignment horizontal="center"/>
    </xf>
    <xf numFmtId="167" fontId="1" fillId="6" borderId="6" xfId="82" applyNumberFormat="1" applyFont="1" applyFill="1" applyBorder="1" applyAlignment="1">
      <alignment horizontal="center"/>
    </xf>
    <xf numFmtId="167" fontId="0" fillId="3" borderId="2" xfId="82" applyNumberFormat="1" applyFont="1" applyFill="1" applyBorder="1" applyAlignment="1">
      <alignment horizontal="center"/>
    </xf>
    <xf numFmtId="0" fontId="0" fillId="7" borderId="0" xfId="0" applyFill="1"/>
    <xf numFmtId="0" fontId="16" fillId="6" borderId="2" xfId="0" applyFont="1" applyFill="1" applyBorder="1" applyAlignment="1">
      <alignment horizontal="left" vertical="center" wrapText="1"/>
    </xf>
    <xf numFmtId="0" fontId="0" fillId="6" borderId="2" xfId="0" applyFill="1" applyBorder="1" applyAlignment="1">
      <alignment horizontal="left" wrapText="1"/>
    </xf>
    <xf numFmtId="0" fontId="0" fillId="6" borderId="6" xfId="0" applyFill="1" applyBorder="1" applyAlignment="1">
      <alignment horizontal="left" wrapText="1"/>
    </xf>
    <xf numFmtId="167" fontId="16" fillId="6" borderId="2" xfId="82" applyNumberFormat="1" applyFont="1" applyFill="1" applyBorder="1" applyAlignment="1">
      <alignment horizontal="center" vertical="center" wrapText="1"/>
    </xf>
    <xf numFmtId="167" fontId="14" fillId="6" borderId="2" xfId="82" applyNumberFormat="1" applyFont="1" applyFill="1" applyBorder="1" applyAlignment="1">
      <alignment vertical="center"/>
    </xf>
    <xf numFmtId="1" fontId="14" fillId="6" borderId="2" xfId="0" applyNumberFormat="1" applyFont="1" applyFill="1" applyBorder="1" applyAlignment="1">
      <alignment vertical="center"/>
    </xf>
    <xf numFmtId="167" fontId="22" fillId="6" borderId="28" xfId="82" applyNumberFormat="1" applyFont="1" applyFill="1" applyBorder="1" applyAlignment="1" applyProtection="1">
      <protection locked="0"/>
    </xf>
    <xf numFmtId="167" fontId="22" fillId="6" borderId="34" xfId="82" applyNumberFormat="1" applyFont="1" applyFill="1" applyBorder="1" applyAlignment="1" applyProtection="1">
      <protection locked="0"/>
    </xf>
    <xf numFmtId="167" fontId="22" fillId="6" borderId="34" xfId="82" applyNumberFormat="1" applyFont="1" applyFill="1" applyBorder="1" applyProtection="1">
      <protection locked="0"/>
    </xf>
    <xf numFmtId="0" fontId="0" fillId="8" borderId="72" xfId="0" applyFill="1" applyBorder="1" applyAlignment="1">
      <alignment horizontal="left" vertical="center"/>
    </xf>
    <xf numFmtId="0" fontId="0" fillId="8" borderId="72" xfId="0" applyFill="1" applyBorder="1"/>
    <xf numFmtId="167" fontId="14" fillId="6" borderId="0" xfId="82" applyNumberFormat="1" applyFont="1" applyFill="1" applyAlignment="1">
      <alignment vertical="center"/>
    </xf>
    <xf numFmtId="0" fontId="16" fillId="6" borderId="4" xfId="0" applyFont="1" applyFill="1" applyBorder="1" applyAlignment="1">
      <alignment horizontal="center" vertical="center" wrapText="1"/>
    </xf>
    <xf numFmtId="165" fontId="16" fillId="6" borderId="4" xfId="0" applyNumberFormat="1" applyFont="1" applyFill="1" applyBorder="1" applyAlignment="1">
      <alignment horizontal="center" vertical="center" wrapText="1"/>
    </xf>
    <xf numFmtId="165" fontId="16" fillId="6" borderId="27" xfId="0" applyNumberFormat="1" applyFont="1" applyFill="1" applyBorder="1" applyAlignment="1">
      <alignment horizontal="center" vertical="center" wrapText="1"/>
    </xf>
    <xf numFmtId="0" fontId="35" fillId="9" borderId="0" xfId="0" applyFont="1" applyFill="1"/>
    <xf numFmtId="0" fontId="35" fillId="9" borderId="0" xfId="0" applyFont="1" applyFill="1" applyAlignment="1">
      <alignment vertical="center"/>
    </xf>
    <xf numFmtId="0" fontId="0" fillId="6" borderId="6" xfId="0" applyFill="1" applyBorder="1"/>
    <xf numFmtId="167" fontId="0" fillId="6" borderId="34" xfId="82" applyNumberFormat="1" applyFont="1" applyFill="1" applyBorder="1"/>
    <xf numFmtId="0" fontId="23" fillId="3" borderId="4" xfId="0" applyFont="1" applyFill="1" applyBorder="1" applyAlignment="1">
      <alignment horizontal="center" vertical="center" wrapText="1"/>
    </xf>
    <xf numFmtId="0" fontId="23" fillId="6" borderId="4"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6" borderId="2" xfId="0" applyFont="1" applyFill="1" applyBorder="1" applyAlignment="1">
      <alignment horizontal="center" vertical="center" wrapText="1"/>
    </xf>
    <xf numFmtId="0" fontId="31" fillId="7" borderId="38" xfId="0" applyFont="1" applyFill="1" applyBorder="1" applyAlignment="1">
      <alignment vertical="center" wrapText="1"/>
    </xf>
    <xf numFmtId="0" fontId="0" fillId="3" borderId="2" xfId="0" applyFill="1" applyBorder="1" applyAlignment="1" applyProtection="1">
      <alignment vertical="center"/>
      <protection locked="0"/>
    </xf>
    <xf numFmtId="3" fontId="0" fillId="3" borderId="4" xfId="0" applyNumberFormat="1" applyFill="1" applyBorder="1" applyAlignment="1" applyProtection="1">
      <alignment wrapText="1"/>
      <protection locked="0"/>
    </xf>
    <xf numFmtId="3" fontId="0" fillId="3" borderId="25" xfId="0" applyNumberFormat="1" applyFill="1" applyBorder="1" applyAlignment="1" applyProtection="1">
      <alignment wrapText="1"/>
      <protection locked="0"/>
    </xf>
    <xf numFmtId="3" fontId="0" fillId="3" borderId="2" xfId="0" applyNumberFormat="1" applyFill="1" applyBorder="1" applyAlignment="1" applyProtection="1">
      <alignment wrapText="1"/>
      <protection locked="0"/>
    </xf>
    <xf numFmtId="14" fontId="16" fillId="6" borderId="0" xfId="0" applyNumberFormat="1" applyFont="1" applyFill="1" applyAlignment="1" applyProtection="1">
      <alignment vertical="center"/>
      <protection hidden="1"/>
    </xf>
    <xf numFmtId="0" fontId="0" fillId="6" borderId="0" xfId="0" applyFill="1" applyAlignment="1" applyProtection="1">
      <alignment vertical="center"/>
      <protection hidden="1"/>
    </xf>
    <xf numFmtId="14" fontId="0" fillId="6" borderId="0" xfId="0" applyNumberFormat="1" applyFill="1" applyAlignment="1" applyProtection="1">
      <alignment vertical="center"/>
      <protection hidden="1"/>
    </xf>
    <xf numFmtId="167" fontId="0" fillId="6" borderId="5" xfId="82" applyNumberFormat="1" applyFont="1" applyFill="1" applyBorder="1" applyAlignment="1" applyProtection="1">
      <alignment wrapText="1"/>
      <protection hidden="1"/>
    </xf>
    <xf numFmtId="167" fontId="0" fillId="6" borderId="61" xfId="82" applyNumberFormat="1" applyFont="1" applyFill="1" applyBorder="1" applyAlignment="1" applyProtection="1">
      <alignment wrapText="1"/>
      <protection hidden="1"/>
    </xf>
    <xf numFmtId="167" fontId="0" fillId="6" borderId="8" xfId="82" applyNumberFormat="1" applyFont="1" applyFill="1" applyBorder="1" applyAlignment="1" applyProtection="1">
      <alignment wrapText="1"/>
      <protection hidden="1"/>
    </xf>
    <xf numFmtId="167" fontId="0" fillId="6" borderId="9" xfId="0" applyNumberFormat="1" applyFill="1" applyBorder="1" applyAlignment="1" applyProtection="1">
      <alignment wrapText="1"/>
      <protection hidden="1"/>
    </xf>
    <xf numFmtId="3" fontId="0" fillId="6" borderId="42" xfId="0" applyNumberFormat="1" applyFill="1" applyBorder="1" applyAlignment="1" applyProtection="1">
      <alignment wrapText="1"/>
      <protection hidden="1"/>
    </xf>
    <xf numFmtId="167" fontId="12" fillId="6" borderId="2" xfId="0" applyNumberFormat="1" applyFont="1" applyFill="1" applyBorder="1" applyAlignment="1" applyProtection="1">
      <alignment wrapText="1"/>
      <protection hidden="1"/>
    </xf>
    <xf numFmtId="0" fontId="20" fillId="0" borderId="44" xfId="0" applyFont="1" applyBorder="1" applyAlignment="1" applyProtection="1">
      <alignment horizontal="left" wrapText="1"/>
      <protection locked="0"/>
    </xf>
    <xf numFmtId="0" fontId="20" fillId="0" borderId="46" xfId="0" applyFont="1" applyBorder="1" applyAlignment="1" applyProtection="1">
      <alignment horizontal="left" wrapText="1"/>
      <protection locked="0"/>
    </xf>
    <xf numFmtId="0" fontId="20" fillId="0" borderId="57" xfId="0" applyFont="1" applyBorder="1" applyAlignment="1" applyProtection="1">
      <alignment horizontal="left" wrapText="1"/>
      <protection locked="0"/>
    </xf>
    <xf numFmtId="3" fontId="13" fillId="3" borderId="36" xfId="0" applyNumberFormat="1" applyFont="1" applyFill="1" applyBorder="1" applyAlignment="1" applyProtection="1">
      <alignment wrapText="1"/>
      <protection locked="0"/>
    </xf>
    <xf numFmtId="0" fontId="0" fillId="0" borderId="0" xfId="0" applyAlignment="1" applyProtection="1">
      <alignment vertical="center"/>
      <protection locked="0"/>
    </xf>
    <xf numFmtId="0" fontId="17" fillId="0" borderId="0" xfId="0" applyFont="1" applyAlignment="1" applyProtection="1">
      <alignment vertical="center"/>
      <protection locked="0"/>
    </xf>
    <xf numFmtId="0" fontId="15" fillId="0" borderId="0" xfId="0" applyFont="1" applyAlignment="1" applyProtection="1">
      <alignment vertical="center"/>
      <protection locked="0"/>
    </xf>
    <xf numFmtId="0" fontId="0" fillId="0" borderId="0" xfId="0" applyProtection="1">
      <protection locked="0"/>
    </xf>
    <xf numFmtId="0" fontId="16" fillId="0" borderId="0" xfId="0" applyFont="1" applyAlignment="1" applyProtection="1">
      <alignment vertical="center" wrapText="1"/>
      <protection locked="0"/>
    </xf>
    <xf numFmtId="0" fontId="16" fillId="0" borderId="0" xfId="0" applyFont="1" applyAlignment="1" applyProtection="1">
      <alignment vertical="center"/>
      <protection locked="0"/>
    </xf>
    <xf numFmtId="0" fontId="16" fillId="0" borderId="0" xfId="0" applyFont="1" applyAlignment="1" applyProtection="1">
      <alignment horizontal="left" vertical="center"/>
      <protection locked="0"/>
    </xf>
    <xf numFmtId="0" fontId="14" fillId="0" borderId="0" xfId="0" applyFont="1" applyAlignment="1" applyProtection="1">
      <alignment horizontal="left" vertical="center"/>
      <protection locked="0"/>
    </xf>
    <xf numFmtId="0" fontId="16" fillId="0" borderId="0" xfId="0" applyFont="1" applyAlignment="1" applyProtection="1">
      <alignment horizontal="center" vertical="center" wrapText="1"/>
      <protection locked="0"/>
    </xf>
    <xf numFmtId="0" fontId="16" fillId="0" borderId="49" xfId="0" applyFont="1" applyBorder="1" applyAlignment="1" applyProtection="1">
      <alignment horizontal="center" vertical="center" wrapText="1"/>
      <protection locked="0"/>
    </xf>
    <xf numFmtId="0" fontId="16" fillId="0" borderId="50" xfId="0" applyFont="1" applyBorder="1" applyAlignment="1" applyProtection="1">
      <alignment horizontal="center" vertical="center" wrapText="1"/>
      <protection locked="0"/>
    </xf>
    <xf numFmtId="0" fontId="0" fillId="0" borderId="51" xfId="0" applyBorder="1" applyAlignment="1" applyProtection="1">
      <alignment horizontal="center" vertical="center" wrapText="1"/>
      <protection locked="0"/>
    </xf>
    <xf numFmtId="0" fontId="16" fillId="0" borderId="51" xfId="0" applyFont="1" applyBorder="1" applyAlignment="1" applyProtection="1">
      <alignment horizontal="center" vertical="center" wrapText="1"/>
      <protection locked="0"/>
    </xf>
    <xf numFmtId="0" fontId="16" fillId="0" borderId="52" xfId="0"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3" fontId="0" fillId="0" borderId="0" xfId="0" applyNumberFormat="1" applyAlignment="1" applyProtection="1">
      <alignment horizontal="left" vertical="center"/>
      <protection locked="0"/>
    </xf>
    <xf numFmtId="0" fontId="0" fillId="8" borderId="79" xfId="0" applyFill="1" applyBorder="1" applyAlignment="1" applyProtection="1">
      <alignment horizontal="left" vertical="center"/>
      <protection locked="0"/>
    </xf>
    <xf numFmtId="0" fontId="15" fillId="0" borderId="29" xfId="0" applyFont="1" applyBorder="1" applyAlignment="1" applyProtection="1">
      <alignment horizontal="center" vertical="center" wrapText="1"/>
      <protection locked="0"/>
    </xf>
    <xf numFmtId="0" fontId="13" fillId="0" borderId="30" xfId="0" applyFont="1" applyBorder="1" applyAlignment="1" applyProtection="1">
      <alignment horizontal="center" vertical="center" wrapText="1"/>
      <protection locked="0"/>
    </xf>
    <xf numFmtId="0" fontId="15" fillId="0" borderId="30" xfId="0" applyFont="1" applyBorder="1" applyAlignment="1" applyProtection="1">
      <alignment horizontal="center" vertical="center" wrapText="1"/>
      <protection locked="0"/>
    </xf>
    <xf numFmtId="0" fontId="15" fillId="0" borderId="31" xfId="0" applyFont="1" applyBorder="1" applyAlignment="1" applyProtection="1">
      <alignment horizontal="center" vertical="center" wrapText="1"/>
      <protection locked="0"/>
    </xf>
    <xf numFmtId="167" fontId="14" fillId="6" borderId="0" xfId="82" applyNumberFormat="1" applyFont="1" applyFill="1" applyAlignment="1" applyProtection="1">
      <alignment horizontal="left" vertical="center"/>
      <protection hidden="1"/>
    </xf>
    <xf numFmtId="0" fontId="0" fillId="10" borderId="74" xfId="0" applyFill="1" applyBorder="1" applyAlignment="1">
      <alignment vertical="center"/>
    </xf>
    <xf numFmtId="0" fontId="0" fillId="10" borderId="2" xfId="0" applyFill="1" applyBorder="1" applyAlignment="1">
      <alignment horizontal="left" wrapText="1"/>
    </xf>
    <xf numFmtId="0" fontId="0" fillId="10" borderId="6" xfId="0" applyFill="1" applyBorder="1" applyAlignment="1">
      <alignment horizontal="left" wrapText="1"/>
    </xf>
    <xf numFmtId="0" fontId="0" fillId="10" borderId="6" xfId="0" applyFill="1" applyBorder="1" applyAlignment="1">
      <alignment horizontal="left"/>
    </xf>
    <xf numFmtId="0" fontId="0" fillId="10" borderId="2" xfId="0" applyFill="1" applyBorder="1" applyAlignment="1">
      <alignment horizontal="left"/>
    </xf>
    <xf numFmtId="165" fontId="0" fillId="10" borderId="2" xfId="0" applyNumberFormat="1" applyFill="1" applyBorder="1" applyAlignment="1">
      <alignment horizontal="center"/>
    </xf>
    <xf numFmtId="165" fontId="0" fillId="10" borderId="6" xfId="0" applyNumberFormat="1" applyFill="1" applyBorder="1" applyAlignment="1">
      <alignment horizontal="center"/>
    </xf>
    <xf numFmtId="0" fontId="16" fillId="10" borderId="2" xfId="0" applyFont="1" applyFill="1" applyBorder="1" applyAlignment="1">
      <alignment horizontal="left" vertical="center" wrapText="1"/>
    </xf>
    <xf numFmtId="0" fontId="16" fillId="10" borderId="2" xfId="2" applyFont="1" applyFill="1" applyBorder="1" applyAlignment="1" applyProtection="1">
      <alignment horizontal="left" vertical="center" wrapText="1"/>
    </xf>
    <xf numFmtId="9" fontId="16" fillId="10" borderId="2" xfId="15" applyFont="1" applyFill="1" applyBorder="1" applyAlignment="1">
      <alignment horizontal="left" vertical="center" wrapText="1"/>
    </xf>
    <xf numFmtId="165" fontId="16" fillId="10" borderId="2" xfId="2" applyNumberFormat="1" applyFont="1" applyFill="1" applyBorder="1" applyAlignment="1" applyProtection="1">
      <alignment horizontal="center" vertical="center" wrapText="1"/>
    </xf>
    <xf numFmtId="9" fontId="0" fillId="10" borderId="2" xfId="15" applyFont="1" applyFill="1" applyBorder="1" applyAlignment="1">
      <alignment horizontal="left"/>
    </xf>
    <xf numFmtId="9" fontId="3" fillId="10" borderId="6" xfId="15" applyFont="1" applyFill="1" applyBorder="1" applyAlignment="1">
      <alignment horizontal="left"/>
    </xf>
    <xf numFmtId="9" fontId="0" fillId="10" borderId="6" xfId="15" applyFont="1" applyFill="1" applyBorder="1" applyAlignment="1">
      <alignment horizontal="left"/>
    </xf>
    <xf numFmtId="9" fontId="2" fillId="10" borderId="6" xfId="15" applyFont="1" applyFill="1" applyBorder="1" applyAlignment="1">
      <alignment horizontal="left"/>
    </xf>
    <xf numFmtId="9" fontId="1" fillId="10" borderId="6" xfId="15" applyFont="1" applyFill="1" applyBorder="1" applyAlignment="1">
      <alignment horizontal="left"/>
    </xf>
    <xf numFmtId="9" fontId="23" fillId="3" borderId="29" xfId="15" applyFont="1" applyFill="1" applyBorder="1" applyAlignment="1">
      <alignment horizontal="center"/>
    </xf>
    <xf numFmtId="9" fontId="23" fillId="3" borderId="2" xfId="15" applyFont="1" applyFill="1" applyBorder="1" applyAlignment="1">
      <alignment horizontal="center"/>
    </xf>
    <xf numFmtId="0" fontId="0" fillId="6" borderId="2" xfId="0" applyFill="1" applyBorder="1" applyAlignment="1">
      <alignment horizontal="center"/>
    </xf>
    <xf numFmtId="165" fontId="0" fillId="6" borderId="2" xfId="0" applyNumberFormat="1" applyFill="1" applyBorder="1" applyAlignment="1">
      <alignment horizontal="center"/>
    </xf>
    <xf numFmtId="0" fontId="0" fillId="3" borderId="2" xfId="0" applyFill="1" applyBorder="1"/>
    <xf numFmtId="167" fontId="0" fillId="3" borderId="2" xfId="82" applyNumberFormat="1" applyFont="1" applyFill="1" applyBorder="1"/>
    <xf numFmtId="0" fontId="0" fillId="6" borderId="29" xfId="0" applyFill="1" applyBorder="1"/>
    <xf numFmtId="167" fontId="0" fillId="3" borderId="6" xfId="82" applyNumberFormat="1" applyFont="1" applyFill="1" applyBorder="1"/>
    <xf numFmtId="0" fontId="0" fillId="6" borderId="0" xfId="0" applyFill="1"/>
    <xf numFmtId="0" fontId="16" fillId="3" borderId="2" xfId="0" applyFont="1" applyFill="1" applyBorder="1" applyAlignment="1">
      <alignment horizontal="center" vertical="center" wrapText="1"/>
    </xf>
    <xf numFmtId="167" fontId="16" fillId="3" borderId="2" xfId="82" applyNumberFormat="1" applyFont="1" applyFill="1" applyBorder="1" applyAlignment="1">
      <alignment horizontal="center" vertical="center" wrapText="1"/>
    </xf>
    <xf numFmtId="0" fontId="0" fillId="6" borderId="2" xfId="0" applyFill="1" applyBorder="1"/>
    <xf numFmtId="0" fontId="16" fillId="10" borderId="2" xfId="0" applyFont="1" applyFill="1" applyBorder="1" applyAlignment="1">
      <alignment horizontal="center" vertical="center" wrapText="1"/>
    </xf>
    <xf numFmtId="0" fontId="0" fillId="10" borderId="2" xfId="0" applyFill="1" applyBorder="1" applyAlignment="1">
      <alignment horizontal="center"/>
    </xf>
    <xf numFmtId="0" fontId="0" fillId="10" borderId="2" xfId="0" applyFill="1" applyBorder="1"/>
    <xf numFmtId="0" fontId="0" fillId="10" borderId="6" xfId="0" applyFill="1" applyBorder="1"/>
    <xf numFmtId="0" fontId="23" fillId="10" borderId="4" xfId="0" applyFont="1" applyFill="1" applyBorder="1" applyAlignment="1">
      <alignment horizontal="left" vertical="center" wrapText="1"/>
    </xf>
    <xf numFmtId="0" fontId="23" fillId="10" borderId="4" xfId="0" applyFont="1" applyFill="1" applyBorder="1" applyAlignment="1">
      <alignment horizontal="center" vertical="center" wrapText="1"/>
    </xf>
    <xf numFmtId="0" fontId="23" fillId="10" borderId="2" xfId="0" applyFont="1" applyFill="1" applyBorder="1" applyAlignment="1">
      <alignment horizontal="left" vertical="center" wrapText="1"/>
    </xf>
    <xf numFmtId="0" fontId="23" fillId="10" borderId="2" xfId="0" applyFont="1" applyFill="1" applyBorder="1" applyAlignment="1">
      <alignment horizontal="center" vertical="center" wrapText="1"/>
    </xf>
    <xf numFmtId="0" fontId="23" fillId="3" borderId="3" xfId="0" applyFont="1" applyFill="1" applyBorder="1" applyAlignment="1">
      <alignment horizontal="left" vertical="center" wrapText="1"/>
    </xf>
    <xf numFmtId="0" fontId="23" fillId="3" borderId="7" xfId="0" applyFont="1" applyFill="1" applyBorder="1" applyAlignment="1">
      <alignment horizontal="left" vertical="center" wrapText="1"/>
    </xf>
    <xf numFmtId="165" fontId="23" fillId="6" borderId="5" xfId="0" applyNumberFormat="1" applyFont="1" applyFill="1" applyBorder="1" applyAlignment="1">
      <alignment horizontal="center" vertical="center" wrapText="1"/>
    </xf>
    <xf numFmtId="165" fontId="23" fillId="6" borderId="8" xfId="0" applyNumberFormat="1" applyFont="1" applyFill="1" applyBorder="1" applyAlignment="1">
      <alignment horizontal="center" vertical="center" wrapText="1"/>
    </xf>
    <xf numFmtId="0" fontId="23" fillId="3" borderId="80" xfId="0" applyFont="1" applyFill="1" applyBorder="1" applyAlignment="1">
      <alignment horizontal="left" vertical="center" wrapText="1"/>
    </xf>
    <xf numFmtId="0" fontId="23" fillId="10" borderId="6" xfId="0" applyFont="1" applyFill="1" applyBorder="1" applyAlignment="1">
      <alignment horizontal="left" vertical="center" wrapText="1"/>
    </xf>
    <xf numFmtId="0" fontId="23" fillId="3" borderId="6" xfId="0" applyFont="1" applyFill="1" applyBorder="1" applyAlignment="1">
      <alignment horizontal="center" vertical="center" wrapText="1"/>
    </xf>
    <xf numFmtId="0" fontId="23" fillId="10" borderId="6" xfId="0" applyFont="1" applyFill="1" applyBorder="1" applyAlignment="1">
      <alignment horizontal="center" vertical="center" wrapText="1"/>
    </xf>
    <xf numFmtId="0" fontId="23" fillId="6" borderId="6" xfId="0" applyFont="1" applyFill="1" applyBorder="1" applyAlignment="1">
      <alignment horizontal="center" vertical="center" wrapText="1"/>
    </xf>
    <xf numFmtId="165" fontId="23" fillId="6" borderId="81" xfId="0" applyNumberFormat="1" applyFont="1" applyFill="1" applyBorder="1" applyAlignment="1">
      <alignment horizontal="center" vertical="center" wrapText="1"/>
    </xf>
    <xf numFmtId="0" fontId="36" fillId="0" borderId="44" xfId="0" applyFont="1" applyBorder="1" applyAlignment="1">
      <alignment vertical="center"/>
    </xf>
    <xf numFmtId="0" fontId="16" fillId="3" borderId="2" xfId="0" applyFont="1" applyFill="1" applyBorder="1" applyAlignment="1" applyProtection="1">
      <alignment vertical="center" wrapText="1"/>
      <protection locked="0"/>
    </xf>
    <xf numFmtId="167" fontId="0" fillId="3" borderId="2" xfId="82" applyNumberFormat="1" applyFont="1" applyFill="1" applyBorder="1" applyAlignment="1" applyProtection="1">
      <alignment vertical="center"/>
      <protection locked="0"/>
    </xf>
    <xf numFmtId="0" fontId="0" fillId="10" borderId="2" xfId="0" applyFill="1" applyBorder="1" applyAlignment="1" applyProtection="1">
      <alignment vertical="center"/>
      <protection locked="0"/>
    </xf>
    <xf numFmtId="2" fontId="16" fillId="6" borderId="2" xfId="0" applyNumberFormat="1" applyFont="1" applyFill="1" applyBorder="1" applyAlignment="1" applyProtection="1">
      <alignment vertical="center" wrapText="1"/>
      <protection hidden="1"/>
    </xf>
    <xf numFmtId="166" fontId="16" fillId="6" borderId="2" xfId="0" applyNumberFormat="1" applyFont="1" applyFill="1" applyBorder="1" applyAlignment="1" applyProtection="1">
      <alignment vertical="center" wrapText="1"/>
      <protection hidden="1"/>
    </xf>
    <xf numFmtId="37" fontId="16" fillId="6" borderId="2" xfId="82" applyNumberFormat="1" applyFont="1" applyFill="1" applyBorder="1" applyAlignment="1" applyProtection="1">
      <alignment vertical="center" wrapText="1"/>
      <protection hidden="1"/>
    </xf>
    <xf numFmtId="0" fontId="0" fillId="3" borderId="6" xfId="0" applyFill="1" applyBorder="1" applyAlignment="1" applyProtection="1">
      <alignment vertical="center"/>
      <protection locked="0"/>
    </xf>
    <xf numFmtId="167" fontId="3" fillId="3" borderId="6" xfId="82" applyNumberFormat="1" applyFont="1" applyFill="1" applyBorder="1" applyAlignment="1" applyProtection="1">
      <alignment vertical="center"/>
      <protection locked="0"/>
    </xf>
    <xf numFmtId="0" fontId="0" fillId="10" borderId="6" xfId="0" applyFill="1" applyBorder="1" applyAlignment="1" applyProtection="1">
      <alignment vertical="center"/>
      <protection locked="0"/>
    </xf>
    <xf numFmtId="2" fontId="0" fillId="6" borderId="6" xfId="0" applyNumberFormat="1" applyFill="1" applyBorder="1" applyAlignment="1" applyProtection="1">
      <alignment vertical="center"/>
      <protection hidden="1"/>
    </xf>
    <xf numFmtId="166" fontId="0" fillId="6" borderId="2" xfId="0" applyNumberFormat="1" applyFill="1" applyBorder="1" applyAlignment="1" applyProtection="1">
      <alignment vertical="center"/>
      <protection hidden="1"/>
    </xf>
    <xf numFmtId="37" fontId="3" fillId="6" borderId="6" xfId="82" applyNumberFormat="1" applyFont="1" applyFill="1" applyBorder="1" applyAlignment="1" applyProtection="1">
      <alignment vertical="center"/>
      <protection hidden="1"/>
    </xf>
    <xf numFmtId="0" fontId="16" fillId="3" borderId="6" xfId="0" applyFont="1" applyFill="1" applyBorder="1" applyAlignment="1" applyProtection="1">
      <alignment vertical="center" wrapText="1"/>
      <protection locked="0"/>
    </xf>
    <xf numFmtId="167" fontId="0" fillId="3" borderId="6" xfId="82" applyNumberFormat="1" applyFont="1" applyFill="1" applyBorder="1" applyAlignment="1" applyProtection="1">
      <alignment vertical="center"/>
      <protection locked="0"/>
    </xf>
    <xf numFmtId="166" fontId="0" fillId="6" borderId="6" xfId="0" applyNumberFormat="1" applyFill="1" applyBorder="1" applyAlignment="1" applyProtection="1">
      <alignment vertical="center"/>
      <protection hidden="1"/>
    </xf>
    <xf numFmtId="37" fontId="0" fillId="6" borderId="6" xfId="82" applyNumberFormat="1" applyFont="1" applyFill="1" applyBorder="1" applyAlignment="1" applyProtection="1">
      <alignment vertical="center"/>
      <protection hidden="1"/>
    </xf>
    <xf numFmtId="167" fontId="0" fillId="6" borderId="2" xfId="82" quotePrefix="1" applyNumberFormat="1" applyFont="1" applyFill="1" applyBorder="1" applyAlignment="1" applyProtection="1">
      <alignment vertical="center"/>
      <protection locked="0"/>
    </xf>
    <xf numFmtId="167" fontId="0" fillId="6" borderId="2" xfId="82" applyNumberFormat="1" applyFont="1" applyFill="1" applyBorder="1" applyAlignment="1" applyProtection="1">
      <alignment vertical="center"/>
      <protection locked="0"/>
    </xf>
    <xf numFmtId="167" fontId="0" fillId="6" borderId="6" xfId="82" applyNumberFormat="1" applyFont="1" applyFill="1" applyBorder="1" applyAlignment="1" applyProtection="1">
      <alignment vertical="center"/>
      <protection locked="0"/>
    </xf>
    <xf numFmtId="167" fontId="1" fillId="6" borderId="6" xfId="82" applyNumberFormat="1" applyFont="1" applyFill="1" applyBorder="1" applyAlignment="1" applyProtection="1">
      <alignment vertical="center"/>
      <protection locked="0"/>
    </xf>
    <xf numFmtId="0" fontId="16" fillId="10" borderId="2" xfId="0" applyFont="1" applyFill="1" applyBorder="1" applyAlignment="1" applyProtection="1">
      <alignment vertical="center" wrapText="1"/>
      <protection locked="0"/>
    </xf>
    <xf numFmtId="0" fontId="16" fillId="3" borderId="2" xfId="2" applyFont="1" applyFill="1" applyBorder="1" applyAlignment="1" applyProtection="1">
      <alignment vertical="center" wrapText="1"/>
      <protection locked="0"/>
    </xf>
    <xf numFmtId="0" fontId="16" fillId="6" borderId="2" xfId="2" applyFont="1" applyFill="1" applyBorder="1" applyAlignment="1" applyProtection="1">
      <alignment vertical="center" wrapText="1"/>
      <protection locked="0"/>
    </xf>
    <xf numFmtId="167" fontId="16" fillId="3" borderId="2" xfId="82" applyNumberFormat="1" applyFont="1" applyFill="1" applyBorder="1" applyAlignment="1" applyProtection="1">
      <alignment vertical="center" wrapText="1"/>
      <protection locked="0"/>
    </xf>
    <xf numFmtId="0" fontId="16" fillId="10" borderId="2" xfId="2" applyFont="1" applyFill="1" applyBorder="1" applyAlignment="1" applyProtection="1">
      <alignment vertical="center" wrapText="1"/>
      <protection locked="0"/>
    </xf>
    <xf numFmtId="165" fontId="16" fillId="10" borderId="2" xfId="2" applyNumberFormat="1" applyFont="1" applyFill="1" applyBorder="1" applyAlignment="1" applyProtection="1">
      <alignment vertical="center" wrapText="1"/>
      <protection locked="0"/>
    </xf>
    <xf numFmtId="167" fontId="16" fillId="6" borderId="2" xfId="82" applyNumberFormat="1" applyFont="1" applyFill="1" applyBorder="1" applyAlignment="1" applyProtection="1">
      <alignment vertical="center" wrapText="1"/>
      <protection locked="0"/>
    </xf>
    <xf numFmtId="0" fontId="0" fillId="10" borderId="2" xfId="0" applyFill="1" applyBorder="1" applyAlignment="1" applyProtection="1">
      <alignment vertical="center" wrapText="1"/>
      <protection locked="0"/>
    </xf>
    <xf numFmtId="0" fontId="0" fillId="6" borderId="2" xfId="0" applyFill="1" applyBorder="1" applyAlignment="1" applyProtection="1">
      <alignment vertical="center" wrapText="1"/>
      <protection locked="0"/>
    </xf>
    <xf numFmtId="0" fontId="0" fillId="10" borderId="6" xfId="0" applyFill="1" applyBorder="1" applyAlignment="1" applyProtection="1">
      <alignment vertical="center" wrapText="1"/>
      <protection locked="0"/>
    </xf>
    <xf numFmtId="0" fontId="0" fillId="6" borderId="6" xfId="0" applyFill="1" applyBorder="1" applyAlignment="1" applyProtection="1">
      <alignment vertical="center" wrapText="1"/>
      <protection locked="0"/>
    </xf>
    <xf numFmtId="164" fontId="0" fillId="0" borderId="0" xfId="0" applyNumberFormat="1" applyAlignment="1" applyProtection="1">
      <alignment horizontal="left" vertical="center"/>
      <protection locked="0"/>
    </xf>
    <xf numFmtId="0" fontId="23" fillId="3" borderId="2" xfId="0" applyFont="1" applyFill="1" applyBorder="1" applyAlignment="1">
      <alignment horizontal="left" vertical="center" wrapText="1"/>
    </xf>
    <xf numFmtId="0" fontId="23" fillId="3" borderId="2" xfId="0" applyFont="1" applyFill="1" applyBorder="1" applyAlignment="1">
      <alignment horizontal="left" vertical="center"/>
    </xf>
    <xf numFmtId="14" fontId="24" fillId="3" borderId="2" xfId="1" applyNumberFormat="1" applyFont="1" applyFill="1" applyBorder="1" applyAlignment="1" applyProtection="1">
      <alignment horizontal="left" vertical="center"/>
      <protection locked="0"/>
    </xf>
    <xf numFmtId="165" fontId="0" fillId="6" borderId="8" xfId="0" applyNumberFormat="1" applyFill="1" applyBorder="1" applyAlignment="1">
      <alignment horizontal="left" vertical="center"/>
    </xf>
    <xf numFmtId="9" fontId="24" fillId="3" borderId="2" xfId="15" applyFont="1" applyFill="1" applyBorder="1" applyAlignment="1" applyProtection="1">
      <alignment horizontal="center" vertical="center"/>
      <protection locked="0"/>
    </xf>
    <xf numFmtId="167" fontId="24" fillId="3" borderId="2" xfId="82" applyNumberFormat="1" applyFont="1" applyFill="1" applyBorder="1" applyAlignment="1" applyProtection="1">
      <alignment horizontal="left" vertical="center"/>
      <protection locked="0"/>
    </xf>
    <xf numFmtId="0" fontId="37" fillId="0" borderId="0" xfId="0" applyFont="1" applyAlignment="1" applyProtection="1">
      <alignment horizontal="center" vertical="center"/>
      <protection locked="0"/>
    </xf>
    <xf numFmtId="0" fontId="39" fillId="0" borderId="0" xfId="2" applyFont="1" applyAlignment="1" applyProtection="1">
      <alignment horizontal="left" vertical="center" wrapText="1"/>
    </xf>
    <xf numFmtId="167" fontId="0" fillId="0" borderId="0" xfId="0" applyNumberFormat="1" applyProtection="1">
      <protection locked="0"/>
    </xf>
    <xf numFmtId="0" fontId="0" fillId="0" borderId="0" xfId="0" quotePrefix="1"/>
    <xf numFmtId="0" fontId="41" fillId="0" borderId="0" xfId="0" applyFont="1"/>
    <xf numFmtId="0" fontId="42" fillId="3" borderId="6" xfId="0" applyFont="1" applyFill="1" applyBorder="1" applyAlignment="1" applyProtection="1">
      <alignment vertical="center"/>
      <protection locked="0"/>
    </xf>
    <xf numFmtId="0" fontId="0" fillId="0" borderId="20" xfId="0" applyBorder="1" applyAlignment="1">
      <alignment wrapText="1"/>
    </xf>
    <xf numFmtId="0" fontId="0" fillId="0" borderId="24" xfId="0" applyBorder="1"/>
    <xf numFmtId="0" fontId="0" fillId="0" borderId="25" xfId="0" applyBorder="1" applyAlignment="1">
      <alignment wrapText="1"/>
    </xf>
    <xf numFmtId="0" fontId="0" fillId="0" borderId="33" xfId="0" applyBorder="1" applyAlignment="1">
      <alignment wrapText="1"/>
    </xf>
    <xf numFmtId="0" fontId="9" fillId="11" borderId="0" xfId="0" applyFont="1" applyFill="1" applyAlignment="1">
      <alignment vertical="center" wrapText="1"/>
    </xf>
    <xf numFmtId="0" fontId="13" fillId="0" borderId="24" xfId="0" applyFont="1" applyBorder="1" applyAlignment="1">
      <alignment wrapText="1"/>
    </xf>
    <xf numFmtId="0" fontId="13" fillId="0" borderId="25" xfId="0" applyFont="1" applyBorder="1" applyAlignment="1">
      <alignment wrapText="1"/>
    </xf>
    <xf numFmtId="43" fontId="0" fillId="0" borderId="0" xfId="0" applyNumberFormat="1"/>
    <xf numFmtId="0" fontId="0" fillId="0" borderId="35" xfId="0" applyBorder="1" applyAlignment="1">
      <alignment wrapText="1"/>
    </xf>
    <xf numFmtId="167" fontId="0" fillId="10" borderId="2" xfId="0" applyNumberFormat="1" applyFill="1" applyBorder="1"/>
    <xf numFmtId="167" fontId="0" fillId="6" borderId="28" xfId="0" applyNumberFormat="1" applyFill="1" applyBorder="1"/>
    <xf numFmtId="0" fontId="0" fillId="0" borderId="29" xfId="0" applyBorder="1" applyAlignment="1">
      <alignment horizontal="left" vertical="center" wrapText="1"/>
    </xf>
    <xf numFmtId="0" fontId="0" fillId="0" borderId="24" xfId="0" applyBorder="1" applyAlignment="1">
      <alignment horizontal="left" vertical="center" wrapText="1"/>
    </xf>
    <xf numFmtId="0" fontId="7" fillId="0" borderId="0" xfId="2" applyAlignment="1" applyProtection="1"/>
    <xf numFmtId="0" fontId="0" fillId="10" borderId="2" xfId="0" applyFill="1" applyBorder="1" applyAlignment="1">
      <alignment wrapText="1"/>
    </xf>
    <xf numFmtId="167" fontId="0" fillId="6" borderId="2" xfId="82" applyNumberFormat="1" applyFont="1" applyFill="1" applyBorder="1" applyAlignment="1">
      <alignment vertical="center"/>
    </xf>
    <xf numFmtId="167" fontId="3" fillId="6" borderId="6" xfId="82" applyNumberFormat="1" applyFont="1" applyFill="1" applyBorder="1" applyAlignment="1">
      <alignment vertical="center"/>
    </xf>
    <xf numFmtId="167" fontId="0" fillId="6" borderId="6" xfId="82" applyNumberFormat="1" applyFont="1" applyFill="1" applyBorder="1" applyAlignment="1">
      <alignment vertical="center"/>
    </xf>
    <xf numFmtId="167" fontId="2" fillId="6" borderId="6" xfId="82" applyNumberFormat="1" applyFont="1" applyFill="1" applyBorder="1" applyAlignment="1">
      <alignment vertical="center"/>
    </xf>
    <xf numFmtId="167" fontId="1" fillId="6" borderId="6" xfId="82" applyNumberFormat="1" applyFont="1" applyFill="1" applyBorder="1" applyAlignment="1">
      <alignment vertical="center"/>
    </xf>
    <xf numFmtId="0" fontId="16" fillId="0" borderId="0" xfId="0" applyFont="1" applyAlignment="1">
      <alignment vertical="center"/>
    </xf>
    <xf numFmtId="0" fontId="16" fillId="0" borderId="75" xfId="0" applyFont="1" applyBorder="1" applyAlignment="1">
      <alignment vertical="center"/>
    </xf>
    <xf numFmtId="0" fontId="0" fillId="0" borderId="0" xfId="0" applyAlignment="1">
      <alignment vertical="center" wrapText="1"/>
    </xf>
    <xf numFmtId="0" fontId="0" fillId="0" borderId="75" xfId="0" applyBorder="1" applyAlignment="1">
      <alignment vertical="center" wrapText="1"/>
    </xf>
    <xf numFmtId="0" fontId="0" fillId="0" borderId="0" xfId="0" applyAlignment="1">
      <alignment vertical="center"/>
    </xf>
    <xf numFmtId="0" fontId="0" fillId="0" borderId="75" xfId="0" applyBorder="1" applyAlignment="1">
      <alignment vertical="center"/>
    </xf>
    <xf numFmtId="0" fontId="6" fillId="3" borderId="65" xfId="1" applyFill="1" applyBorder="1" applyAlignment="1" applyProtection="1">
      <alignment vertical="center"/>
      <protection locked="0"/>
    </xf>
    <xf numFmtId="0" fontId="6" fillId="3" borderId="66" xfId="1" applyFill="1" applyBorder="1" applyAlignment="1" applyProtection="1">
      <alignment vertical="center"/>
      <protection locked="0"/>
    </xf>
    <xf numFmtId="0" fontId="6" fillId="3" borderId="67" xfId="1" applyNumberFormat="1" applyFill="1" applyBorder="1" applyAlignment="1" applyProtection="1">
      <alignment vertical="center"/>
      <protection locked="0"/>
    </xf>
    <xf numFmtId="0" fontId="6" fillId="3" borderId="68" xfId="1" applyNumberFormat="1" applyFill="1" applyBorder="1" applyAlignment="1" applyProtection="1">
      <alignment vertical="center"/>
      <protection locked="0"/>
    </xf>
    <xf numFmtId="0" fontId="0" fillId="0" borderId="3" xfId="0" applyBorder="1" applyAlignment="1">
      <alignment wrapText="1"/>
    </xf>
    <xf numFmtId="0" fontId="0" fillId="0" borderId="4" xfId="0" applyBorder="1" applyAlignment="1">
      <alignment wrapText="1"/>
    </xf>
    <xf numFmtId="0" fontId="0" fillId="0" borderId="7" xfId="0" applyBorder="1" applyAlignment="1">
      <alignment wrapText="1"/>
    </xf>
    <xf numFmtId="0" fontId="0" fillId="0" borderId="2" xfId="0" applyBorder="1" applyAlignment="1">
      <alignment wrapText="1"/>
    </xf>
    <xf numFmtId="0" fontId="7" fillId="0" borderId="0" xfId="2" applyAlignment="1" applyProtection="1">
      <alignment wrapText="1"/>
    </xf>
    <xf numFmtId="0" fontId="40" fillId="0" borderId="0" xfId="0" applyFont="1" applyAlignment="1">
      <alignment horizontal="center" wrapText="1"/>
    </xf>
    <xf numFmtId="0" fontId="0" fillId="0" borderId="0" xfId="0" applyAlignment="1">
      <alignment wrapText="1"/>
    </xf>
    <xf numFmtId="0" fontId="6" fillId="3" borderId="70" xfId="1" applyFill="1" applyBorder="1" applyAlignment="1" applyProtection="1">
      <alignment vertical="center"/>
      <protection locked="0"/>
    </xf>
    <xf numFmtId="0" fontId="6" fillId="3" borderId="68" xfId="1" applyFill="1" applyBorder="1" applyAlignment="1" applyProtection="1">
      <alignment vertical="center"/>
      <protection locked="0"/>
    </xf>
    <xf numFmtId="0" fontId="6" fillId="3" borderId="39" xfId="1" applyFill="1" applyBorder="1" applyAlignment="1" applyProtection="1">
      <alignment vertical="center"/>
      <protection locked="0"/>
    </xf>
    <xf numFmtId="0" fontId="6" fillId="3" borderId="65" xfId="1" applyNumberFormat="1" applyFill="1" applyBorder="1" applyAlignment="1" applyProtection="1">
      <alignment vertical="center"/>
      <protection locked="0"/>
    </xf>
    <xf numFmtId="0" fontId="6" fillId="3" borderId="39" xfId="1" applyNumberFormat="1" applyFill="1" applyBorder="1" applyAlignment="1" applyProtection="1">
      <alignment vertical="center"/>
      <protection locked="0"/>
    </xf>
    <xf numFmtId="0" fontId="6" fillId="3" borderId="66" xfId="1" applyNumberFormat="1" applyFill="1" applyBorder="1" applyAlignment="1" applyProtection="1">
      <alignment vertical="center"/>
      <protection locked="0"/>
    </xf>
    <xf numFmtId="168" fontId="6" fillId="3" borderId="65" xfId="1" applyNumberFormat="1" applyFill="1" applyBorder="1" applyAlignment="1" applyProtection="1">
      <alignment vertical="center"/>
      <protection locked="0"/>
    </xf>
    <xf numFmtId="168" fontId="6" fillId="3" borderId="39" xfId="1" applyNumberFormat="1" applyFill="1" applyBorder="1" applyAlignment="1" applyProtection="1">
      <alignment vertical="center"/>
      <protection locked="0"/>
    </xf>
    <xf numFmtId="168" fontId="6" fillId="3" borderId="66" xfId="1" applyNumberFormat="1" applyFill="1" applyBorder="1" applyAlignment="1" applyProtection="1">
      <alignment vertical="center"/>
      <protection locked="0"/>
    </xf>
    <xf numFmtId="0" fontId="6" fillId="3" borderId="63" xfId="1" applyFill="1" applyBorder="1" applyAlignment="1" applyProtection="1">
      <alignment vertical="center"/>
      <protection locked="0"/>
    </xf>
    <xf numFmtId="0" fontId="6" fillId="3" borderId="69" xfId="1" applyFill="1" applyBorder="1" applyAlignment="1" applyProtection="1">
      <alignment vertical="center"/>
      <protection locked="0"/>
    </xf>
    <xf numFmtId="0" fontId="6" fillId="3" borderId="64" xfId="1" applyFill="1" applyBorder="1" applyAlignment="1" applyProtection="1">
      <alignment vertical="center"/>
      <protection locked="0"/>
    </xf>
    <xf numFmtId="0" fontId="0" fillId="0" borderId="0" xfId="0" applyAlignment="1">
      <alignment horizontal="left" wrapText="1"/>
    </xf>
    <xf numFmtId="0" fontId="16" fillId="0" borderId="0" xfId="0" applyFont="1" applyAlignment="1">
      <alignment horizontal="left" wrapText="1"/>
    </xf>
    <xf numFmtId="0" fontId="20" fillId="0" borderId="0" xfId="0" applyFont="1" applyAlignment="1">
      <alignment horizontal="left" wrapText="1"/>
    </xf>
    <xf numFmtId="0" fontId="20" fillId="0" borderId="56" xfId="0" applyFont="1" applyBorder="1" applyAlignment="1">
      <alignment horizontal="left" wrapText="1"/>
    </xf>
    <xf numFmtId="0" fontId="0" fillId="0" borderId="45" xfId="0" applyBorder="1" applyAlignment="1">
      <alignment horizontal="left" vertical="top" wrapText="1"/>
    </xf>
    <xf numFmtId="0" fontId="0" fillId="0" borderId="48" xfId="0" applyBorder="1" applyAlignment="1">
      <alignment horizontal="left" vertical="top" wrapText="1"/>
    </xf>
    <xf numFmtId="0" fontId="13" fillId="0" borderId="36" xfId="0" applyFont="1" applyBorder="1" applyAlignment="1">
      <alignment wrapText="1"/>
    </xf>
    <xf numFmtId="0" fontId="13" fillId="0" borderId="40" xfId="0" applyFont="1" applyBorder="1" applyAlignment="1">
      <alignment wrapText="1"/>
    </xf>
    <xf numFmtId="0" fontId="0" fillId="0" borderId="0" xfId="0" applyAlignment="1">
      <alignment horizontal="left" vertical="center" wrapText="1"/>
    </xf>
    <xf numFmtId="0" fontId="16" fillId="0" borderId="38" xfId="0" applyFont="1" applyBorder="1" applyAlignment="1">
      <alignment horizontal="left" wrapText="1"/>
    </xf>
    <xf numFmtId="0" fontId="16" fillId="0" borderId="58" xfId="0" applyFont="1" applyBorder="1" applyAlignment="1">
      <alignment horizontal="left" wrapText="1"/>
    </xf>
    <xf numFmtId="0" fontId="0" fillId="0" borderId="62" xfId="0" applyBorder="1" applyAlignment="1">
      <alignment wrapText="1"/>
    </xf>
    <xf numFmtId="0" fontId="0" fillId="0" borderId="20" xfId="0" applyBorder="1" applyAlignment="1">
      <alignment wrapText="1"/>
    </xf>
    <xf numFmtId="0" fontId="0" fillId="0" borderId="32" xfId="0" applyBorder="1" applyAlignment="1">
      <alignment wrapText="1"/>
    </xf>
    <xf numFmtId="0" fontId="0" fillId="0" borderId="23" xfId="0" applyBorder="1" applyAlignment="1">
      <alignment wrapText="1"/>
    </xf>
    <xf numFmtId="0" fontId="13" fillId="0" borderId="71" xfId="0" applyFont="1" applyBorder="1" applyAlignment="1">
      <alignment horizontal="center" wrapText="1"/>
    </xf>
    <xf numFmtId="0" fontId="13" fillId="0" borderId="72" xfId="0" applyFont="1" applyBorder="1" applyAlignment="1">
      <alignment horizontal="center" wrapText="1"/>
    </xf>
    <xf numFmtId="0" fontId="13" fillId="0" borderId="73" xfId="0" applyFont="1" applyBorder="1" applyAlignment="1">
      <alignment horizontal="center" wrapText="1"/>
    </xf>
    <xf numFmtId="0" fontId="6" fillId="10" borderId="65" xfId="1" applyFill="1" applyBorder="1" applyAlignment="1" applyProtection="1">
      <alignment vertical="center"/>
      <protection locked="0"/>
    </xf>
    <xf numFmtId="0" fontId="6" fillId="10" borderId="66" xfId="1" applyFill="1" applyBorder="1" applyAlignment="1" applyProtection="1">
      <alignment vertical="center"/>
      <protection locked="0"/>
    </xf>
    <xf numFmtId="0" fontId="16" fillId="0" borderId="0" xfId="0" applyFont="1" applyAlignment="1">
      <alignment horizontal="left" vertical="center" wrapText="1"/>
    </xf>
    <xf numFmtId="0" fontId="16" fillId="0" borderId="45" xfId="0" applyFont="1" applyBorder="1" applyAlignment="1">
      <alignment horizontal="left" vertical="top" wrapText="1"/>
    </xf>
    <xf numFmtId="0" fontId="16" fillId="0" borderId="48" xfId="0" applyFont="1" applyBorder="1" applyAlignment="1">
      <alignment horizontal="left" vertical="top" wrapText="1"/>
    </xf>
    <xf numFmtId="0" fontId="16" fillId="0" borderId="0" xfId="0" applyFont="1" applyAlignment="1">
      <alignment horizontal="left" vertical="top" wrapText="1"/>
    </xf>
    <xf numFmtId="0" fontId="16" fillId="0" borderId="56" xfId="0" applyFont="1" applyBorder="1" applyAlignment="1">
      <alignment horizontal="left" vertical="top" wrapText="1"/>
    </xf>
    <xf numFmtId="0" fontId="16" fillId="0" borderId="38" xfId="0" applyFont="1" applyBorder="1" applyAlignment="1">
      <alignment horizontal="left" vertical="top" wrapText="1"/>
    </xf>
    <xf numFmtId="0" fontId="16" fillId="0" borderId="58" xfId="0" applyFont="1" applyBorder="1" applyAlignment="1">
      <alignment horizontal="left" vertical="top" wrapText="1"/>
    </xf>
    <xf numFmtId="0" fontId="0" fillId="0" borderId="0" xfId="0" applyAlignment="1" applyProtection="1">
      <alignment vertical="top" wrapText="1"/>
      <protection hidden="1"/>
    </xf>
    <xf numFmtId="0" fontId="13" fillId="0" borderId="41" xfId="0" applyFont="1" applyBorder="1" applyAlignment="1">
      <alignment wrapText="1"/>
    </xf>
    <xf numFmtId="0" fontId="0" fillId="0" borderId="75" xfId="0" applyBorder="1" applyAlignment="1">
      <alignment horizontal="left" wrapText="1"/>
    </xf>
    <xf numFmtId="0" fontId="13" fillId="0" borderId="0" xfId="0" applyFont="1" applyAlignment="1">
      <alignment horizontal="left" wrapText="1"/>
    </xf>
    <xf numFmtId="0" fontId="13" fillId="0" borderId="75" xfId="0" applyFont="1" applyBorder="1" applyAlignment="1">
      <alignment horizontal="left" wrapText="1"/>
    </xf>
    <xf numFmtId="0" fontId="0" fillId="0" borderId="75" xfId="0" applyBorder="1" applyAlignment="1">
      <alignment wrapText="1"/>
    </xf>
    <xf numFmtId="0" fontId="33" fillId="0" borderId="77" xfId="0" applyFont="1" applyBorder="1" applyAlignment="1">
      <alignment horizontal="left" wrapText="1"/>
    </xf>
    <xf numFmtId="0" fontId="33" fillId="0" borderId="78" xfId="0" applyFont="1" applyBorder="1" applyAlignment="1">
      <alignment horizontal="left" wrapText="1"/>
    </xf>
    <xf numFmtId="0" fontId="33" fillId="7" borderId="38" xfId="0" applyFont="1" applyFill="1" applyBorder="1" applyProtection="1">
      <protection locked="0"/>
    </xf>
    <xf numFmtId="0" fontId="14" fillId="0" borderId="54" xfId="0" applyFont="1" applyBorder="1" applyAlignment="1" applyProtection="1">
      <alignment vertical="center"/>
      <protection locked="0"/>
    </xf>
    <xf numFmtId="0" fontId="14" fillId="0" borderId="55" xfId="0" applyFont="1" applyBorder="1" applyAlignment="1" applyProtection="1">
      <alignment vertical="center"/>
      <protection locked="0"/>
    </xf>
    <xf numFmtId="0" fontId="16" fillId="0" borderId="0" xfId="0" applyFont="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0" fillId="0" borderId="0" xfId="0" applyAlignment="1" applyProtection="1">
      <alignment vertical="center" wrapText="1"/>
      <protection locked="0"/>
    </xf>
    <xf numFmtId="0" fontId="16" fillId="0" borderId="0" xfId="0" applyFont="1" applyAlignment="1" applyProtection="1">
      <alignment vertical="center" wrapText="1"/>
      <protection locked="0"/>
    </xf>
    <xf numFmtId="0" fontId="33" fillId="7" borderId="0" xfId="0" applyFont="1" applyFill="1" applyProtection="1">
      <protection locked="0"/>
    </xf>
    <xf numFmtId="0" fontId="14" fillId="0" borderId="46" xfId="0" applyFont="1" applyBorder="1" applyAlignment="1" applyProtection="1">
      <alignment vertical="center"/>
      <protection locked="0"/>
    </xf>
    <xf numFmtId="0" fontId="14" fillId="0" borderId="0" xfId="0" applyFont="1" applyAlignment="1" applyProtection="1">
      <alignment vertical="center"/>
      <protection locked="0"/>
    </xf>
    <xf numFmtId="0" fontId="14" fillId="0" borderId="0" xfId="0" applyFont="1" applyAlignment="1">
      <alignment horizontal="left" vertical="center" wrapText="1"/>
    </xf>
    <xf numFmtId="0" fontId="16" fillId="0" borderId="0" xfId="0" applyFont="1" applyAlignment="1">
      <alignment vertical="center" wrapText="1"/>
    </xf>
    <xf numFmtId="0" fontId="31" fillId="7" borderId="0" xfId="0" applyFont="1" applyFill="1" applyAlignment="1">
      <alignment vertical="center" wrapText="1"/>
    </xf>
    <xf numFmtId="0" fontId="19" fillId="0" borderId="0" xfId="0" applyFont="1" applyAlignment="1">
      <alignment horizontal="left" vertical="top" wrapText="1"/>
    </xf>
    <xf numFmtId="0" fontId="16" fillId="3" borderId="0" xfId="0" applyFont="1" applyFill="1" applyAlignment="1">
      <alignment horizontal="left" wrapText="1"/>
    </xf>
    <xf numFmtId="0" fontId="16" fillId="3" borderId="56" xfId="0" applyFont="1" applyFill="1" applyBorder="1" applyAlignment="1">
      <alignment horizontal="left" wrapText="1"/>
    </xf>
    <xf numFmtId="0" fontId="0" fillId="0" borderId="56" xfId="0" applyBorder="1" applyAlignment="1">
      <alignment vertical="center" wrapText="1"/>
    </xf>
    <xf numFmtId="0" fontId="16" fillId="0" borderId="46" xfId="0" applyFont="1" applyBorder="1" applyAlignment="1">
      <alignment horizontal="right" vertical="center"/>
    </xf>
    <xf numFmtId="0" fontId="16" fillId="0" borderId="29" xfId="0" applyFont="1" applyBorder="1" applyAlignment="1">
      <alignment horizontal="right" vertical="center"/>
    </xf>
    <xf numFmtId="0" fontId="19" fillId="0" borderId="44" xfId="0" applyFont="1" applyBorder="1" applyAlignment="1">
      <alignment vertical="center" wrapText="1"/>
    </xf>
    <xf numFmtId="0" fontId="19" fillId="0" borderId="45" xfId="0" applyFont="1" applyBorder="1" applyAlignment="1">
      <alignment vertical="center" wrapText="1"/>
    </xf>
    <xf numFmtId="0" fontId="19" fillId="0" borderId="48" xfId="0" applyFont="1" applyBorder="1" applyAlignment="1">
      <alignment vertical="center" wrapText="1"/>
    </xf>
    <xf numFmtId="0" fontId="19" fillId="0" borderId="57" xfId="0" applyFont="1" applyBorder="1" applyAlignment="1">
      <alignment vertical="center" wrapText="1"/>
    </xf>
    <xf numFmtId="0" fontId="19" fillId="0" borderId="38" xfId="0" applyFont="1" applyBorder="1" applyAlignment="1">
      <alignment vertical="center" wrapText="1"/>
    </xf>
    <xf numFmtId="0" fontId="19" fillId="0" borderId="58" xfId="0" applyFont="1" applyBorder="1" applyAlignment="1">
      <alignment vertical="center" wrapText="1"/>
    </xf>
    <xf numFmtId="0" fontId="19" fillId="0" borderId="0" xfId="0" applyFont="1" applyAlignment="1">
      <alignment horizontal="left" vertical="center"/>
    </xf>
    <xf numFmtId="0" fontId="19" fillId="0" borderId="46" xfId="0" applyFont="1" applyBorder="1" applyAlignment="1">
      <alignment horizontal="left" vertical="center" wrapText="1"/>
    </xf>
    <xf numFmtId="0" fontId="19" fillId="0" borderId="0" xfId="0" applyFont="1" applyAlignment="1">
      <alignment horizontal="left" vertical="center" wrapText="1"/>
    </xf>
    <xf numFmtId="0" fontId="19" fillId="0" borderId="56" xfId="0" applyFont="1" applyBorder="1" applyAlignment="1">
      <alignment horizontal="left" vertical="center" wrapText="1"/>
    </xf>
    <xf numFmtId="0" fontId="19" fillId="0" borderId="57" xfId="0" applyFont="1" applyBorder="1" applyAlignment="1">
      <alignment horizontal="left" vertical="center" wrapText="1"/>
    </xf>
    <xf numFmtId="0" fontId="19" fillId="0" borderId="38" xfId="0" applyFont="1" applyBorder="1" applyAlignment="1">
      <alignment horizontal="left" vertical="center" wrapText="1"/>
    </xf>
    <xf numFmtId="0" fontId="19" fillId="0" borderId="58" xfId="0" applyFont="1" applyBorder="1" applyAlignment="1">
      <alignment horizontal="left" vertical="center" wrapText="1"/>
    </xf>
    <xf numFmtId="0" fontId="33" fillId="7" borderId="38" xfId="0" applyFont="1" applyFill="1" applyBorder="1" applyAlignment="1">
      <alignment wrapText="1"/>
    </xf>
    <xf numFmtId="0" fontId="14" fillId="0" borderId="44" xfId="0" applyFont="1" applyBorder="1" applyAlignment="1">
      <alignment vertical="center"/>
    </xf>
    <xf numFmtId="0" fontId="14" fillId="0" borderId="45" xfId="0" applyFont="1" applyBorder="1" applyAlignment="1">
      <alignment vertical="center"/>
    </xf>
    <xf numFmtId="0" fontId="14" fillId="0" borderId="48" xfId="0" applyFont="1" applyBorder="1" applyAlignment="1">
      <alignment vertical="center"/>
    </xf>
    <xf numFmtId="0" fontId="18" fillId="0" borderId="57" xfId="0" applyFont="1" applyBorder="1" applyAlignment="1">
      <alignment wrapText="1"/>
    </xf>
    <xf numFmtId="0" fontId="18" fillId="0" borderId="38" xfId="0" applyFont="1" applyBorder="1" applyAlignment="1">
      <alignment wrapText="1"/>
    </xf>
    <xf numFmtId="0" fontId="18" fillId="0" borderId="58" xfId="0" applyFont="1" applyBorder="1" applyAlignment="1">
      <alignment wrapText="1"/>
    </xf>
    <xf numFmtId="0" fontId="0" fillId="0" borderId="0" xfId="0" applyAlignment="1">
      <alignment horizontal="left" vertical="top" wrapText="1"/>
    </xf>
    <xf numFmtId="0" fontId="16" fillId="0" borderId="0" xfId="0" quotePrefix="1" applyFont="1" applyAlignment="1" applyProtection="1">
      <alignment horizontal="left" vertical="center"/>
      <protection locked="0"/>
    </xf>
    <xf numFmtId="1" fontId="34" fillId="12" borderId="2" xfId="0" applyNumberFormat="1" applyFont="1" applyFill="1" applyBorder="1" applyAlignment="1" applyProtection="1">
      <alignment vertical="center" wrapText="1"/>
      <protection hidden="1"/>
    </xf>
    <xf numFmtId="0" fontId="34" fillId="12" borderId="2" xfId="0" applyFont="1" applyFill="1" applyBorder="1" applyAlignment="1" applyProtection="1">
      <alignment vertical="center" wrapText="1"/>
      <protection hidden="1"/>
    </xf>
    <xf numFmtId="0" fontId="34" fillId="12" borderId="28" xfId="0" applyFont="1" applyFill="1" applyBorder="1" applyAlignment="1" applyProtection="1">
      <alignment vertical="center" wrapText="1"/>
      <protection hidden="1"/>
    </xf>
    <xf numFmtId="1" fontId="34" fillId="12" borderId="2" xfId="0" applyNumberFormat="1" applyFont="1" applyFill="1" applyBorder="1" applyAlignment="1" applyProtection="1">
      <alignment vertical="center"/>
      <protection hidden="1"/>
    </xf>
    <xf numFmtId="0" fontId="34" fillId="12" borderId="2" xfId="0" applyFont="1" applyFill="1" applyBorder="1" applyAlignment="1" applyProtection="1">
      <alignment vertical="center"/>
      <protection hidden="1"/>
    </xf>
    <xf numFmtId="1" fontId="34" fillId="12" borderId="6" xfId="0" applyNumberFormat="1" applyFont="1" applyFill="1" applyBorder="1" applyAlignment="1" applyProtection="1">
      <alignment vertical="center"/>
      <protection hidden="1"/>
    </xf>
    <xf numFmtId="0" fontId="34" fillId="12" borderId="6" xfId="0" applyFont="1" applyFill="1" applyBorder="1" applyAlignment="1" applyProtection="1">
      <alignment vertical="center"/>
      <protection hidden="1"/>
    </xf>
    <xf numFmtId="0" fontId="34" fillId="12" borderId="34" xfId="0" applyFont="1" applyFill="1" applyBorder="1" applyAlignment="1" applyProtection="1">
      <alignment vertical="center" wrapText="1"/>
      <protection hidden="1"/>
    </xf>
    <xf numFmtId="0" fontId="43" fillId="13" borderId="51" xfId="0" applyFont="1" applyFill="1" applyBorder="1" applyAlignment="1" applyProtection="1">
      <alignment horizontal="center" vertical="center" wrapText="1"/>
      <protection locked="0"/>
    </xf>
    <xf numFmtId="0" fontId="43" fillId="13" borderId="53" xfId="0" applyFont="1" applyFill="1" applyBorder="1" applyAlignment="1" applyProtection="1">
      <alignment horizontal="center" vertical="center" wrapText="1"/>
      <protection locked="0"/>
    </xf>
    <xf numFmtId="0" fontId="0" fillId="0" borderId="82" xfId="0" applyBorder="1"/>
    <xf numFmtId="0" fontId="7" fillId="3" borderId="67" xfId="2" applyFill="1" applyBorder="1" applyAlignment="1" applyProtection="1">
      <alignment vertical="center"/>
      <protection locked="0"/>
    </xf>
  </cellXfs>
  <cellStyles count="230">
    <cellStyle name="Comma" xfId="82" builtinId="3"/>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Hyperlink" xfId="2" builtinId="8"/>
    <cellStyle name="Normal" xfId="0" builtinId="0"/>
    <cellStyle name="Output" xfId="1" builtinId="21"/>
    <cellStyle name="Percent" xfId="15" builtinId="5"/>
  </cellStyles>
  <dxfs count="191">
    <dxf>
      <numFmt numFmtId="167" formatCode="_(* #,##0_);_(* \(#,##0\);_(* &quot;-&quot;??_);_(@_)"/>
      <fill>
        <patternFill>
          <fgColor indexed="64"/>
          <bgColor theme="6" tint="0.59999389629810485"/>
        </patternFill>
      </fill>
      <border diagonalUp="0" diagonalDown="0">
        <left style="thin">
          <color indexed="64"/>
        </left>
        <right style="thin">
          <color auto="1"/>
        </right>
        <top style="thin">
          <color indexed="64"/>
        </top>
        <bottom style="thin">
          <color indexed="64"/>
        </bottom>
      </border>
    </dxf>
    <dxf>
      <font>
        <b val="0"/>
        <i val="0"/>
        <strike val="0"/>
        <outline val="0"/>
        <shadow val="0"/>
        <u val="none"/>
        <vertAlign val="baseline"/>
        <sz val="11"/>
        <color theme="0" tint="-0.499984740745262"/>
        <name val="Calibri"/>
        <scheme val="minor"/>
      </font>
      <numFmt numFmtId="0" formatCode="General"/>
      <fill>
        <patternFill patternType="darkTrellis">
          <fgColor indexed="64"/>
          <bgColor theme="4" tint="0.79998168889431442"/>
        </patternFill>
      </fill>
      <alignment horizontal="general" vertical="center" textRotation="0" wrapText="1" indent="0" justifyLastLine="0" shrinkToFit="0" readingOrder="0"/>
      <border diagonalUp="0" diagonalDown="0">
        <left style="thin">
          <color auto="1"/>
        </left>
        <right/>
        <top style="thin">
          <color auto="1"/>
        </top>
        <bottom style="thin">
          <color auto="1"/>
        </bottom>
      </border>
      <protection locked="1" hidden="1"/>
    </dxf>
    <dxf>
      <font>
        <b val="0"/>
        <i val="0"/>
        <strike val="0"/>
        <outline val="0"/>
        <shadow val="0"/>
        <u val="none"/>
        <vertAlign val="baseline"/>
        <sz val="11"/>
        <color theme="0" tint="-0.499984740745262"/>
        <name val="Calibri"/>
        <scheme val="minor"/>
      </font>
      <numFmt numFmtId="0" formatCode="General"/>
      <fill>
        <patternFill patternType="darkTrellis">
          <fgColor indexed="64"/>
          <bgColor theme="4" tint="0.79998168889431442"/>
        </patternFill>
      </fill>
      <alignment horizontal="general" vertical="center" textRotation="0" indent="0" justifyLastLine="0" shrinkToFit="0"/>
      <border diagonalUp="0" diagonalDown="0">
        <left style="thin">
          <color auto="1"/>
        </left>
        <right style="thin">
          <color auto="1"/>
        </right>
        <top style="thin">
          <color auto="1"/>
        </top>
        <bottom style="thin">
          <color auto="1"/>
        </bottom>
      </border>
      <protection locked="1" hidden="1"/>
    </dxf>
    <dxf>
      <font>
        <strike val="0"/>
        <outline val="0"/>
        <shadow val="0"/>
        <u val="none"/>
        <vertAlign val="baseline"/>
        <sz val="11"/>
        <color theme="0" tint="-0.499984740745262"/>
        <name val="Calibri"/>
        <scheme val="minor"/>
      </font>
      <numFmt numFmtId="1" formatCode="0"/>
      <fill>
        <patternFill patternType="darkTrellis">
          <fgColor indexed="64"/>
          <bgColor theme="4" tint="0.79998168889431442"/>
        </patternFill>
      </fill>
      <alignment horizontal="general" vertical="center" textRotation="0" indent="0" justifyLastLine="0" shrinkToFit="0"/>
      <border diagonalUp="0" diagonalDown="0">
        <left style="thin">
          <color auto="1"/>
        </left>
        <right style="thin">
          <color auto="1"/>
        </right>
        <top style="thin">
          <color auto="1"/>
        </top>
        <bottom style="thin">
          <color auto="1"/>
        </bottom>
      </border>
      <protection locked="1" hidden="1"/>
    </dxf>
    <dxf>
      <font>
        <color auto="1"/>
      </font>
      <fill>
        <patternFill>
          <bgColor rgb="FFFFFF00"/>
        </patternFill>
      </fill>
    </dxf>
    <dxf>
      <font>
        <b val="0"/>
        <i val="0"/>
        <strike val="0"/>
        <color auto="1"/>
      </font>
      <fill>
        <patternFill patternType="solid">
          <fgColor indexed="64"/>
          <bgColor rgb="FFFFFF00"/>
        </patternFill>
      </fill>
    </dxf>
    <dxf>
      <font>
        <color theme="0"/>
      </font>
      <fill>
        <patternFill patternType="solid">
          <fgColor indexed="64"/>
          <bgColor rgb="FFFFFF00"/>
        </patternFill>
      </fill>
    </dxf>
    <dxf>
      <font>
        <color theme="0"/>
      </font>
      <fill>
        <patternFill patternType="solid">
          <fgColor indexed="64"/>
          <bgColor rgb="FFFFFF00"/>
        </patternFill>
      </fill>
    </dxf>
    <dxf>
      <font>
        <color theme="0"/>
      </font>
      <fill>
        <patternFill patternType="solid">
          <fgColor indexed="64"/>
          <bgColor rgb="FFFFFF00"/>
        </patternFill>
      </fill>
    </dxf>
    <dxf>
      <font>
        <color auto="1"/>
      </font>
      <fill>
        <patternFill patternType="solid">
          <fgColor indexed="64"/>
          <bgColor rgb="FFFFFF00"/>
        </patternFill>
      </fill>
    </dxf>
    <dxf>
      <font>
        <color theme="0"/>
      </font>
      <fill>
        <patternFill patternType="solid">
          <fgColor indexed="64"/>
          <bgColor rgb="FFFFFF00"/>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30" formatCode="@"/>
    </dxf>
    <dxf>
      <numFmt numFmtId="30" formatCode="@"/>
    </dxf>
    <dxf>
      <numFmt numFmtId="30" formatCode="@"/>
    </dxf>
    <dxf>
      <alignment horizontal="general" vertical="bottom" textRotation="0" wrapText="1" indent="0" justifyLastLine="0" shrinkToFit="0" readingOrder="0"/>
    </dxf>
    <dxf>
      <numFmt numFmtId="35" formatCode="_(* #,##0.00_);_(* \(#,##0.00\);_(* &quot;-&quot;??_);_(@_)"/>
    </dxf>
    <dxf>
      <numFmt numFmtId="35" formatCode="_(* #,##0.00_);_(* \(#,##0.00\);_(* &quot;-&quot;??_);_(@_)"/>
    </dxf>
    <dxf>
      <alignment horizontal="general" vertical="bottom" textRotation="0" wrapText="1" indent="0" justifyLastLine="0" shrinkToFit="0" readingOrder="0"/>
    </dxf>
    <dxf>
      <alignment horizontal="general" vertical="bottom" textRotation="0" wrapText="1" indent="0" justifyLastLine="0" shrinkToFit="0" readingOrder="0"/>
      <border diagonalUp="0" diagonalDown="0" outline="0">
        <left/>
        <right style="thin">
          <color auto="1"/>
        </right>
        <top style="thin">
          <color indexed="64"/>
        </top>
        <bottom style="thin">
          <color auto="1"/>
        </bottom>
      </border>
    </dxf>
    <dxf>
      <border outline="0">
        <top style="thin">
          <color auto="1"/>
        </top>
      </border>
    </dxf>
    <dxf>
      <border outline="0">
        <left style="thin">
          <color auto="1"/>
        </left>
        <right style="thin">
          <color auto="1"/>
        </right>
        <top style="thin">
          <color auto="1"/>
        </top>
        <bottom style="thin">
          <color auto="1"/>
        </bottom>
      </border>
    </dxf>
    <dxf>
      <border outline="0">
        <bottom style="thin">
          <color auto="1"/>
        </bottom>
      </border>
    </dxf>
    <dxf>
      <font>
        <b/>
        <i val="0"/>
        <strike val="0"/>
        <condense val="0"/>
        <extend val="0"/>
        <outline val="0"/>
        <shadow val="0"/>
        <u val="none"/>
        <vertAlign val="baseline"/>
        <sz val="12"/>
        <color theme="1"/>
        <name val="Calibri"/>
        <family val="2"/>
        <scheme val="minor"/>
      </font>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scheme val="minor"/>
      </font>
      <alignment horizontal="general" vertical="bottom" textRotation="0" wrapText="1" indent="0" justifyLastLine="0" shrinkToFit="0" readingOrder="0"/>
    </dxf>
    <dxf>
      <font>
        <b/>
        <i val="0"/>
        <strike val="0"/>
        <condense val="0"/>
        <extend val="0"/>
        <outline val="0"/>
        <shadow val="0"/>
        <u val="none"/>
        <vertAlign val="baseline"/>
        <sz val="12"/>
        <color theme="1"/>
        <name val="Calibri"/>
        <scheme val="minor"/>
      </font>
      <alignment horizontal="general" vertical="bottom" textRotation="0" wrapText="1" indent="0" justifyLastLine="0" shrinkToFit="0" readingOrder="0"/>
    </dxf>
    <dxf>
      <numFmt numFmtId="0" formatCode="General"/>
    </dxf>
    <dxf>
      <font>
        <b val="0"/>
        <i val="0"/>
        <strike val="0"/>
        <condense val="0"/>
        <extend val="0"/>
        <outline val="0"/>
        <shadow val="0"/>
        <u val="none"/>
        <vertAlign val="baseline"/>
        <sz val="11"/>
        <color rgb="FF363435"/>
        <name val="Arial Unicode MS"/>
        <scheme val="none"/>
      </font>
      <alignment horizontal="general" vertical="center" textRotation="0" wrapText="1" indent="0" justifyLastLine="0" shrinkToFit="0" readingOrder="0"/>
      <border diagonalUp="0" diagonalDown="0" outline="0">
        <left/>
        <right/>
        <top/>
        <bottom style="medium">
          <color rgb="FF848688"/>
        </bottom>
      </border>
    </dxf>
    <dxf>
      <font>
        <b val="0"/>
        <i val="0"/>
        <strike val="0"/>
        <condense val="0"/>
        <extend val="0"/>
        <outline val="0"/>
        <shadow val="0"/>
        <u val="none"/>
        <vertAlign val="baseline"/>
        <sz val="11"/>
        <color rgb="FF363435"/>
        <name val="Arial Unicode MS"/>
        <scheme val="none"/>
      </font>
      <alignment horizontal="general" vertical="center" textRotation="0" wrapText="1" indent="0" justifyLastLine="0" shrinkToFit="0" readingOrder="0"/>
      <border diagonalUp="0" diagonalDown="0">
        <left/>
        <right style="medium">
          <color rgb="FF363435"/>
        </right>
        <top/>
        <bottom style="medium">
          <color rgb="FF848688"/>
        </bottom>
        <vertical/>
        <horizontal/>
      </border>
    </dxf>
    <dxf>
      <border outline="0">
        <left style="medium">
          <color rgb="FF006D95"/>
        </left>
        <right style="medium">
          <color rgb="FF363435"/>
        </right>
        <top style="medium">
          <color rgb="FF006D95"/>
        </top>
        <bottom style="medium">
          <color rgb="FF006D95"/>
        </bottom>
      </border>
    </dxf>
    <dxf>
      <border outline="0">
        <bottom style="medium">
          <color rgb="FF006D95"/>
        </bottom>
      </border>
    </dxf>
    <dxf>
      <font>
        <b/>
        <i val="0"/>
        <strike val="0"/>
        <condense val="0"/>
        <extend val="0"/>
        <outline val="0"/>
        <shadow val="0"/>
        <u val="none"/>
        <vertAlign val="baseline"/>
        <sz val="11"/>
        <color auto="1"/>
        <name val="Times New Roman"/>
        <scheme val="none"/>
      </font>
      <alignment horizontal="general" vertical="center" textRotation="0" wrapText="1" indent="0" justifyLastLine="0" shrinkToFit="0" readingOrder="0"/>
      <border diagonalUp="0" diagonalDown="0" outline="0">
        <left style="medium">
          <color rgb="FF363435"/>
        </left>
        <right style="medium">
          <color rgb="FF363435"/>
        </right>
        <top/>
        <bottom/>
      </border>
    </dxf>
    <dxf>
      <numFmt numFmtId="167" formatCode="_(* #,##0_);_(* \(#,##0\);_(* &quot;-&quot;??_);_(@_)"/>
      <fill>
        <patternFill patternType="solid">
          <fgColor indexed="64"/>
          <bgColor theme="4" tint="0.79998168889431442"/>
        </patternFill>
      </fill>
      <border diagonalUp="0" diagonalDown="0" outline="0">
        <left style="thin">
          <color auto="1"/>
        </left>
        <right/>
        <top style="thin">
          <color indexed="64"/>
        </top>
        <bottom style="thin">
          <color indexed="64"/>
        </bottom>
      </border>
    </dxf>
    <dxf>
      <numFmt numFmtId="167" formatCode="_(* #,##0_);_(* \(#,##0\);_(* &quot;-&quot;??_);_(@_)"/>
      <fill>
        <patternFill patternType="solid">
          <fgColor indexed="64"/>
          <bgColor theme="6" tint="0.79998168889431442"/>
        </patternFill>
      </fill>
      <border diagonalUp="0" diagonalDown="0" outline="0">
        <left style="thin">
          <color auto="1"/>
        </left>
        <right style="thin">
          <color auto="1"/>
        </right>
        <top style="thin">
          <color indexed="64"/>
        </top>
        <bottom style="thin">
          <color indexed="64"/>
        </bottom>
      </border>
    </dxf>
    <dxf>
      <fill>
        <patternFill patternType="solid">
          <fgColor indexed="64"/>
          <bgColor theme="6" tint="0.59999389629810485"/>
        </patternFill>
      </fill>
      <border diagonalUp="0" diagonalDown="0" outline="0">
        <left style="thin">
          <color auto="1"/>
        </left>
        <right style="thin">
          <color auto="1"/>
        </right>
        <top style="thin">
          <color indexed="64"/>
        </top>
        <bottom style="thin">
          <color indexed="64"/>
        </bottom>
      </border>
    </dxf>
    <dxf>
      <fill>
        <patternFill patternType="solid">
          <fgColor indexed="64"/>
          <bgColor theme="6" tint="0.79998168889431442"/>
        </patternFill>
      </fill>
      <border diagonalUp="0" diagonalDown="0" outline="0">
        <left style="thin">
          <color auto="1"/>
        </left>
        <right style="thin">
          <color auto="1"/>
        </right>
        <top style="thin">
          <color indexed="64"/>
        </top>
        <bottom style="thin">
          <color indexed="64"/>
        </bottom>
      </border>
    </dxf>
    <dxf>
      <fill>
        <patternFill patternType="solid">
          <fgColor indexed="64"/>
          <bgColor theme="6" tint="0.79998168889431442"/>
        </patternFill>
      </fill>
      <alignment horizontal="general" vertical="bottom" textRotation="0" wrapText="1" indent="0" justifyLastLine="0" shrinkToFit="0" readingOrder="0"/>
      <border diagonalUp="0" diagonalDown="0" outline="0">
        <left style="thin">
          <color indexed="64"/>
        </left>
        <right style="thin">
          <color auto="1"/>
        </right>
        <top style="thin">
          <color indexed="64"/>
        </top>
        <bottom style="thin">
          <color indexed="64"/>
        </bottom>
      </border>
    </dxf>
    <dxf>
      <fill>
        <patternFill patternType="solid">
          <fgColor indexed="64"/>
          <bgColor theme="6" tint="0.59999389629810485"/>
        </patternFill>
      </fill>
      <border diagonalUp="0" diagonalDown="0" outline="0">
        <left style="thin">
          <color indexed="64"/>
        </left>
        <right style="thin">
          <color auto="1"/>
        </right>
        <top style="thin">
          <color indexed="64"/>
        </top>
        <bottom style="thin">
          <color indexed="64"/>
        </bottom>
      </border>
    </dxf>
    <dxf>
      <fill>
        <patternFill patternType="solid">
          <fgColor indexed="64"/>
          <bgColor theme="6" tint="0.5999938962981048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horizontal="general"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name val="Calibri"/>
        <scheme val="minor"/>
      </font>
      <numFmt numFmtId="167" formatCode="_(* #,##0_);_(* \(#,##0\);_(* &quot;-&quot;??_);_(@_)"/>
      <fill>
        <patternFill patternType="solid">
          <fgColor indexed="64"/>
          <bgColor theme="4" tint="0.79998168889431442"/>
        </patternFill>
      </fill>
      <border diagonalUp="0" diagonalDown="0" outline="0">
        <left style="thin">
          <color indexed="64"/>
        </left>
        <right/>
        <top style="thin">
          <color indexed="64"/>
        </top>
        <bottom style="thin">
          <color indexed="64"/>
        </bottom>
      </border>
    </dxf>
    <dxf>
      <font>
        <strike val="0"/>
        <outline val="0"/>
        <shadow val="0"/>
        <u val="none"/>
        <vertAlign val="baseline"/>
        <name val="Calibri"/>
        <scheme val="minor"/>
      </font>
      <fill>
        <patternFill patternType="solid">
          <fgColor indexed="64"/>
          <bgColor theme="4" tint="0.79998168889431442"/>
        </patternFill>
      </fill>
      <border diagonalUp="0" diagonalDown="0" outline="0">
        <left style="thin">
          <color auto="1"/>
        </left>
        <right style="thin">
          <color auto="1"/>
        </right>
        <top style="thin">
          <color indexed="64"/>
        </top>
        <bottom style="thin">
          <color indexed="64"/>
        </bottom>
      </border>
    </dxf>
    <dxf>
      <font>
        <strike val="0"/>
        <outline val="0"/>
        <shadow val="0"/>
        <u val="none"/>
        <vertAlign val="baseline"/>
        <name val="Calibri"/>
        <scheme val="minor"/>
      </font>
      <fill>
        <patternFill patternType="solid">
          <fgColor indexed="64"/>
          <bgColor theme="6" tint="0.79998168889431442"/>
        </patternFill>
      </fill>
      <border diagonalUp="0" diagonalDown="0" outline="0">
        <left style="thin">
          <color auto="1"/>
        </left>
        <right style="thin">
          <color auto="1"/>
        </right>
        <top style="thin">
          <color indexed="64"/>
        </top>
        <bottom style="thin">
          <color indexed="64"/>
        </bottom>
      </border>
    </dxf>
    <dxf>
      <font>
        <strike val="0"/>
        <outline val="0"/>
        <shadow val="0"/>
        <u val="none"/>
        <vertAlign val="baseline"/>
        <name val="Calibri"/>
        <scheme val="minor"/>
      </font>
      <fill>
        <patternFill patternType="solid">
          <fgColor indexed="64"/>
          <bgColor theme="6" tint="0.79998168889431442"/>
        </patternFill>
      </fill>
      <border diagonalUp="0" diagonalDown="0" outline="0">
        <left style="thin">
          <color auto="1"/>
        </left>
        <right style="thin">
          <color auto="1"/>
        </right>
        <top style="thin">
          <color indexed="64"/>
        </top>
        <bottom style="thin">
          <color indexed="64"/>
        </bottom>
      </border>
    </dxf>
    <dxf>
      <font>
        <strike val="0"/>
        <outline val="0"/>
        <shadow val="0"/>
        <u val="none"/>
        <vertAlign val="baseline"/>
        <name val="Calibri"/>
        <scheme val="minor"/>
      </font>
      <fill>
        <patternFill patternType="solid">
          <fgColor indexed="64"/>
          <bgColor theme="6" tint="0.79998168889431442"/>
        </patternFill>
      </fill>
      <border diagonalUp="0" diagonalDown="0" outline="0">
        <left style="thin">
          <color auto="1"/>
        </left>
        <right style="thin">
          <color auto="1"/>
        </right>
        <top style="thin">
          <color indexed="64"/>
        </top>
        <bottom style="thin">
          <color indexed="64"/>
        </bottom>
      </border>
    </dxf>
    <dxf>
      <font>
        <strike val="0"/>
        <outline val="0"/>
        <shadow val="0"/>
        <u val="none"/>
        <vertAlign val="baseline"/>
        <name val="Calibri"/>
        <scheme val="minor"/>
      </font>
      <fill>
        <patternFill patternType="solid">
          <fgColor indexed="64"/>
          <bgColor theme="6" tint="0.59999389629810485"/>
        </patternFill>
      </fill>
      <border diagonalUp="0" diagonalDown="0" outline="0">
        <left/>
        <right style="thin">
          <color auto="1"/>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border>
        <bottom style="thin">
          <color indexed="64"/>
        </bottom>
      </border>
    </dxf>
    <dxf>
      <font>
        <b/>
        <i val="0"/>
        <strike val="0"/>
        <condense val="0"/>
        <extend val="0"/>
        <outline val="0"/>
        <shadow val="0"/>
        <u val="none"/>
        <vertAlign val="baseline"/>
        <sz val="12"/>
        <color theme="1"/>
        <name val="Calibri"/>
        <scheme val="minor"/>
      </font>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scheme val="minor"/>
      </font>
      <numFmt numFmtId="165" formatCode="0.0"/>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auto="1"/>
        </left>
        <right style="medium">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auto="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scheme val="minor"/>
      </font>
      <fill>
        <patternFill patternType="solid">
          <fgColor indexed="64"/>
          <bgColor theme="6" tint="0.79998168889431442"/>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scheme val="minor"/>
      </font>
      <fill>
        <patternFill patternType="solid">
          <fgColor indexed="64"/>
          <bgColor theme="6" tint="0.79998168889431442"/>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scheme val="minor"/>
      </font>
      <fill>
        <patternFill patternType="solid">
          <fgColor indexed="64"/>
          <bgColor theme="6" tint="0.79998168889431442"/>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scheme val="minor"/>
      </font>
      <fill>
        <patternFill patternType="solid">
          <fgColor indexed="64"/>
          <bgColor theme="6" tint="0.79998168889431442"/>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6" tint="0.5999938962981048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scheme val="minor"/>
      </font>
      <fill>
        <patternFill patternType="solid">
          <fgColor indexed="64"/>
          <bgColor theme="6" tint="0.5999938962981048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auto="1"/>
        <name val="Calibri"/>
        <scheme val="minor"/>
      </font>
      <fill>
        <patternFill patternType="solid">
          <fgColor indexed="64"/>
          <bgColor theme="6" tint="0.5999938962981048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scheme val="minor"/>
      </font>
      <fill>
        <patternFill patternType="solid">
          <fgColor indexed="64"/>
          <bgColor theme="6" tint="0.79998168889431442"/>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scheme val="minor"/>
      </font>
      <fill>
        <patternFill patternType="solid">
          <fgColor indexed="64"/>
          <bgColor theme="6" tint="0.59999389629810485"/>
        </patternFill>
      </fill>
      <alignment horizontal="left" vertical="center" textRotation="0" wrapText="1" indent="0" justifyLastLine="0" shrinkToFit="0" readingOrder="0"/>
      <border diagonalUp="0" diagonalDown="0" outline="0">
        <left style="medium">
          <color auto="1"/>
        </left>
        <right style="thin">
          <color auto="1"/>
        </right>
        <top style="thin">
          <color auto="1"/>
        </top>
        <bottom style="thin">
          <color auto="1"/>
        </bottom>
      </border>
    </dxf>
    <dxf>
      <border outline="0">
        <left style="medium">
          <color auto="1"/>
        </left>
        <right style="thin">
          <color auto="1"/>
        </right>
        <top style="medium">
          <color auto="1"/>
        </top>
        <bottom style="thin">
          <color auto="1"/>
        </bottom>
      </border>
    </dxf>
    <dxf>
      <font>
        <strike val="0"/>
        <outline val="0"/>
        <shadow val="0"/>
        <u val="none"/>
        <vertAlign val="baseline"/>
        <sz val="11"/>
        <color auto="1"/>
        <name val="Calibri"/>
        <scheme val="minor"/>
      </font>
    </dxf>
    <dxf>
      <font>
        <b val="0"/>
        <i val="0"/>
        <strike val="0"/>
        <condense val="0"/>
        <extend val="0"/>
        <outline val="0"/>
        <shadow val="0"/>
        <u val="none"/>
        <vertAlign val="baseline"/>
        <sz val="10"/>
        <color auto="1"/>
        <name val="Calibri"/>
        <scheme val="minor"/>
      </font>
      <alignment horizontal="center" vertical="center" textRotation="0" wrapText="1" indent="0" justifyLastLine="0" shrinkToFit="0" readingOrder="0"/>
      <border diagonalUp="0" diagonalDown="0" outline="0">
        <left style="thin">
          <color auto="1"/>
        </left>
        <right style="thin">
          <color auto="1"/>
        </right>
        <top/>
        <bottom/>
      </border>
    </dxf>
    <dxf>
      <fill>
        <patternFill patternType="solid">
          <fgColor indexed="64"/>
          <bgColor theme="4" tint="0.79998168889431442"/>
        </patternFill>
      </fill>
    </dxf>
    <dxf>
      <fill>
        <patternFill patternType="solid">
          <fgColor indexed="64"/>
          <bgColor theme="4" tint="0.79998168889431442"/>
        </patternFill>
      </fill>
      <border outline="0">
        <right style="thin">
          <color auto="1"/>
        </right>
      </border>
    </dxf>
    <dxf>
      <fill>
        <patternFill patternType="solid">
          <fgColor indexed="64"/>
          <bgColor theme="4" tint="0.79998168889431442"/>
        </patternFill>
      </fill>
      <border outline="0">
        <right style="thin">
          <color auto="1"/>
        </right>
      </border>
    </dxf>
    <dxf>
      <fill>
        <patternFill patternType="solid">
          <fgColor indexed="64"/>
          <bgColor theme="4" tint="0.79998168889431442"/>
        </patternFill>
      </fill>
      <border outline="0">
        <right style="thin">
          <color auto="1"/>
        </right>
      </border>
    </dxf>
    <dxf>
      <fill>
        <patternFill>
          <fgColor indexed="64"/>
          <bgColor theme="6" tint="0.59999389629810485"/>
        </patternFill>
      </fill>
      <border diagonalUp="0" diagonalDown="0" outline="0">
        <left style="thin">
          <color auto="1"/>
        </left>
        <right style="thin">
          <color indexed="64"/>
        </right>
        <top style="thin">
          <color indexed="64"/>
        </top>
        <bottom style="thin">
          <color indexed="64"/>
        </bottom>
      </border>
    </dxf>
    <dxf>
      <fill>
        <patternFill patternType="solid">
          <fgColor indexed="64"/>
          <bgColor theme="6" tint="0.79998168889431442"/>
        </patternFill>
      </fill>
      <border diagonalUp="0" diagonalDown="0" outline="0">
        <left style="thin">
          <color indexed="64"/>
        </left>
        <right style="thin">
          <color indexed="64"/>
        </right>
        <top style="thin">
          <color indexed="64"/>
        </top>
        <bottom style="thin">
          <color indexed="64"/>
        </bottom>
      </border>
    </dxf>
    <dxf>
      <numFmt numFmtId="167" formatCode="_(* #,##0_);_(* \(#,##0\);_(* &quot;-&quot;??_);_(@_)"/>
      <fill>
        <patternFill>
          <fgColor indexed="64"/>
          <bgColor theme="6" tint="0.5999938962981048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6" tint="0.5999938962981048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6" tint="0.5999938962981048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left style="medium">
          <color auto="1"/>
        </left>
        <right style="thin">
          <color auto="1"/>
        </right>
        <top style="medium">
          <color auto="1"/>
        </top>
        <bottom style="thin">
          <color auto="1"/>
        </bottom>
      </border>
    </dxf>
    <dxf>
      <font>
        <b/>
        <i val="0"/>
        <strike val="0"/>
        <condense val="0"/>
        <extend val="0"/>
        <outline val="0"/>
        <shadow val="0"/>
        <u val="none"/>
        <vertAlign val="baseline"/>
        <sz val="12"/>
        <color auto="1"/>
        <name val="Calibri"/>
        <scheme val="minor"/>
      </font>
      <alignment horizontal="center"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rgb="FF3F3F3F"/>
        <name val="Calibri"/>
        <scheme val="minor"/>
      </font>
      <numFmt numFmtId="167" formatCode="_(* #,##0_);_(* \(#,##0\);_(* &quot;-&quot;??_);_(@_)"/>
      <fill>
        <patternFill patternType="solid">
          <fgColor indexed="64"/>
          <bgColor theme="4" tint="0.79998168889431442"/>
        </patternFill>
      </fill>
      <alignment horizontal="general" vertical="bottom" textRotation="0" wrapText="0" indent="0" justifyLastLine="0" shrinkToFit="0" readingOrder="0"/>
      <border diagonalUp="0" diagonalDown="0" outline="0">
        <left style="thin">
          <color auto="1"/>
        </left>
        <right/>
        <top style="thin">
          <color auto="1"/>
        </top>
        <bottom style="thin">
          <color auto="1"/>
        </bottom>
      </border>
      <protection locked="0" hidden="0"/>
    </dxf>
    <dxf>
      <font>
        <b/>
        <i val="0"/>
        <strike val="0"/>
        <condense val="0"/>
        <extend val="0"/>
        <outline val="0"/>
        <shadow val="0"/>
        <u val="none"/>
        <vertAlign val="baseline"/>
        <sz val="11"/>
        <color rgb="FF3F3F3F"/>
        <name val="Calibri"/>
        <scheme val="minor"/>
      </font>
      <numFmt numFmtId="166" formatCode="#,##0.0"/>
      <fill>
        <patternFill patternType="solid">
          <fgColor indexed="64"/>
          <bgColor theme="6" tint="0.59999389629810485"/>
        </patternFill>
      </fil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1"/>
        <color rgb="FF3F3F3F"/>
        <name val="Calibri"/>
        <scheme val="minor"/>
      </font>
      <numFmt numFmtId="19" formatCode="m/d/yy"/>
      <fill>
        <patternFill patternType="solid">
          <fgColor indexed="64"/>
          <bgColor theme="6" tint="0.5999938962981048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6" tint="0.59999389629810485"/>
        </patternFill>
      </fill>
      <alignment horizontal="center" vertical="bottom" textRotation="0" wrapText="0" indent="0" justifyLastLine="0" shrinkToFit="0" readingOrder="0"/>
      <border diagonalUp="0" diagonalDown="0">
        <left/>
        <right style="thin">
          <color auto="1"/>
        </right>
        <top/>
        <bottom style="thin">
          <color auto="1"/>
        </bottom>
        <vertical/>
        <horizontal/>
      </border>
    </dxf>
    <dxf>
      <font>
        <b val="0"/>
        <i val="0"/>
        <strike val="0"/>
        <condense val="0"/>
        <extend val="0"/>
        <outline val="0"/>
        <shadow val="0"/>
        <u val="none"/>
        <vertAlign val="baseline"/>
        <sz val="11"/>
        <color auto="1"/>
        <name val="Calibri"/>
        <scheme val="minor"/>
      </font>
      <fill>
        <patternFill patternType="solid">
          <fgColor indexed="64"/>
          <bgColor theme="6" tint="0.59999389629810485"/>
        </patternFill>
      </fill>
      <alignment horizontal="left" vertical="bottom" textRotation="0" wrapText="0" indent="0" justifyLastLine="0" shrinkToFit="0" readingOrder="0"/>
      <border diagonalUp="0" diagonalDown="0">
        <left/>
        <right style="thin">
          <color auto="1"/>
        </right>
        <top style="thin">
          <color auto="1"/>
        </top>
        <bottom style="thin">
          <color auto="1"/>
        </bottom>
        <vertical/>
        <horizontal/>
      </border>
    </dxf>
    <dxf>
      <border outline="0">
        <left style="medium">
          <color auto="1"/>
        </left>
        <right style="thin">
          <color auto="1"/>
        </right>
        <top style="medium">
          <color auto="1"/>
        </top>
        <bottom style="thin">
          <color auto="1"/>
        </bottom>
      </border>
    </dxf>
    <dxf>
      <border outline="0">
        <bottom style="thin">
          <color auto="1"/>
        </bottom>
      </border>
    </dxf>
    <dxf>
      <font>
        <strike val="0"/>
        <outline val="0"/>
        <shadow val="0"/>
        <u val="none"/>
        <vertAlign val="baseline"/>
        <name val="Calibri"/>
        <scheme val="minor"/>
      </font>
      <numFmt numFmtId="165" formatCode="0.0"/>
      <fill>
        <patternFill patternType="solid">
          <fgColor indexed="64"/>
          <bgColor theme="4" tint="0.79998168889431442"/>
        </patternFill>
      </fill>
      <alignment horizontal="left" vertical="center" textRotation="0" indent="0" justifyLastLine="0" shrinkToFit="0"/>
      <border diagonalUp="0" diagonalDown="0" outline="0">
        <left style="thin">
          <color auto="1"/>
        </left>
        <right style="medium">
          <color auto="1"/>
        </right>
        <top style="thin">
          <color auto="1"/>
        </top>
        <bottom style="thin">
          <color auto="1"/>
        </bottom>
      </border>
    </dxf>
    <dxf>
      <font>
        <b/>
        <i val="0"/>
        <strike val="0"/>
        <condense val="0"/>
        <extend val="0"/>
        <outline val="0"/>
        <shadow val="0"/>
        <u val="none"/>
        <vertAlign val="baseline"/>
        <sz val="11"/>
        <color rgb="FF3F3F3F"/>
        <name val="Calibri"/>
        <scheme val="minor"/>
      </font>
      <numFmt numFmtId="167" formatCode="_(* #,##0_);_(* \(#,##0\);_(* &quot;-&quot;??_);_(@_)"/>
      <fill>
        <patternFill patternType="solid">
          <fgColor indexed="64"/>
          <bgColor theme="6" tint="0.59999389629810485"/>
        </patternFill>
      </fill>
      <alignment horizontal="lef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1"/>
        <color rgb="FF3F3F3F"/>
        <name val="Calibri"/>
        <scheme val="minor"/>
      </font>
      <numFmt numFmtId="19" formatCode="m/d/yy"/>
      <fill>
        <patternFill patternType="solid">
          <fgColor indexed="64"/>
          <bgColor theme="6" tint="0.59999389629810485"/>
        </patternFill>
      </fill>
      <alignment horizontal="lef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1"/>
        <color rgb="FF3F3F3F"/>
        <name val="Calibri"/>
        <scheme val="minor"/>
      </font>
      <fill>
        <patternFill patternType="solid">
          <fgColor indexed="64"/>
          <bgColor theme="6" tint="0.5999938962981048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6" tint="0.59999389629810485"/>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scheme val="minor"/>
      </font>
      <fill>
        <patternFill patternType="solid">
          <fgColor indexed="64"/>
          <bgColor theme="6" tint="0.59999389629810485"/>
        </patternFill>
      </fill>
      <alignment horizontal="left"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border outline="0">
        <left style="medium">
          <color auto="1"/>
        </left>
        <top style="medium">
          <color auto="1"/>
        </top>
        <bottom style="thin">
          <color auto="1"/>
        </bottom>
      </border>
    </dxf>
    <dxf>
      <font>
        <strike val="0"/>
        <outline val="0"/>
        <shadow val="0"/>
        <u val="none"/>
        <vertAlign val="baseline"/>
        <name val="Calibri"/>
        <scheme val="minor"/>
      </font>
      <alignment horizontal="left" vertical="center" textRotation="0" indent="0" justifyLastLine="0" shrinkToFit="0"/>
    </dxf>
    <dxf>
      <font>
        <b val="0"/>
        <i val="0"/>
        <strike val="0"/>
        <condense val="0"/>
        <extend val="0"/>
        <outline val="0"/>
        <shadow val="0"/>
        <u val="none"/>
        <vertAlign val="baseline"/>
        <sz val="12"/>
        <color auto="1"/>
        <name val="Calibri"/>
        <scheme val="minor"/>
      </font>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scheme val="minor"/>
      </font>
      <numFmt numFmtId="167" formatCode="_(* #,##0_);_(* \(#,##0\);_(* &quot;-&quot;??_);_(@_)"/>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scheme val="minor"/>
      </font>
      <numFmt numFmtId="167" formatCode="_(* #,##0_);_(* \(#,##0\);_(* &quot;-&quot;??_);_(@_)"/>
      <fill>
        <patternFill patternType="solid">
          <fgColor indexed="64"/>
          <bgColor theme="4" tint="0.79998168889431442"/>
        </patternFill>
      </fill>
      <alignment horizontal="center" vertical="bottom"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theme="1"/>
        <name val="Calibri"/>
        <scheme val="minor"/>
      </font>
      <numFmt numFmtId="167" formatCode="_(* #,##0_);_(* \(#,##0\);_(* &quot;-&quot;??_);_(@_)"/>
      <fill>
        <patternFill patternType="solid">
          <fgColor indexed="64"/>
          <bgColor theme="4" tint="0.79998168889431442"/>
        </patternFill>
      </fill>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scheme val="minor"/>
      </font>
      <numFmt numFmtId="167" formatCode="_(* #,##0_);_(* \(#,##0\);_(* &quot;-&quot;??_);_(@_)"/>
      <fill>
        <patternFill patternType="solid">
          <fgColor indexed="64"/>
          <bgColor theme="4" tint="0.79998168889431442"/>
        </patternFill>
      </fill>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scheme val="minor"/>
      </font>
      <numFmt numFmtId="165" formatCode="0.0"/>
      <fill>
        <patternFill patternType="solid">
          <fgColor indexed="64"/>
          <bgColor theme="6" tint="0.79998168889431442"/>
        </patternFill>
      </fill>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lef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lef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scheme val="minor"/>
      </font>
      <fill>
        <patternFill patternType="solid">
          <fgColor indexed="64"/>
          <bgColor theme="6" tint="0.59999389629810485"/>
        </patternFill>
      </fill>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scheme val="minor"/>
      </font>
      <fill>
        <patternFill patternType="solid">
          <fgColor indexed="64"/>
          <bgColor theme="6" tint="0.59999389629810485"/>
        </patternFill>
      </fill>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scheme val="minor"/>
      </font>
      <numFmt numFmtId="0" formatCode="General"/>
      <fill>
        <patternFill patternType="solid">
          <fgColor indexed="64"/>
          <bgColor theme="4" tint="0.79998168889431442"/>
        </patternFill>
      </fill>
      <alignment horizontal="left" vertical="bottom" textRotation="0" wrapText="1" indent="0" justifyLastLine="0" shrinkToFit="0" readingOrder="0"/>
      <border diagonalUp="0" diagonalDown="0">
        <left style="thin">
          <color auto="1"/>
        </left>
        <right style="thin">
          <color auto="1"/>
        </right>
        <top style="thin">
          <color auto="1"/>
        </top>
        <bottom/>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left"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scheme val="minor"/>
      </font>
      <fill>
        <patternFill patternType="solid">
          <fgColor indexed="64"/>
          <bgColor theme="6" tint="0.59999389629810485"/>
        </patternFill>
      </fill>
      <alignment horizontal="lef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border outline="0">
        <left style="thin">
          <color auto="1"/>
        </left>
        <right style="thin">
          <color auto="1"/>
        </right>
        <top style="medium">
          <color auto="1"/>
        </top>
        <bottom style="thin">
          <color auto="1"/>
        </bottom>
      </border>
    </dxf>
    <dxf>
      <font>
        <b/>
        <i val="0"/>
        <strike val="0"/>
        <condense val="0"/>
        <extend val="0"/>
        <outline val="0"/>
        <shadow val="0"/>
        <u val="none"/>
        <vertAlign val="baseline"/>
        <sz val="12"/>
        <color auto="1"/>
        <name val="Calibri"/>
        <scheme val="minor"/>
      </font>
      <alignment horizontal="center" vertical="center" textRotation="0" wrapText="1" indent="0" justifyLastLine="0" shrinkToFit="0" readingOrder="0"/>
      <border diagonalUp="0" diagonalDown="0" outline="0">
        <left style="thin">
          <color auto="1"/>
        </left>
        <right style="thin">
          <color auto="1"/>
        </right>
        <top/>
        <bottom/>
      </border>
    </dxf>
    <dxf>
      <numFmt numFmtId="167" formatCode="_(* #,##0_);_(* \(#,##0\);_(* &quot;-&quot;??_);_(@_)"/>
      <fill>
        <patternFill patternType="solid">
          <fgColor indexed="64"/>
          <bgColor theme="4" tint="0.79998168889431442"/>
        </patternFill>
      </fill>
      <alignment horizontal="general" vertical="center" textRotation="0"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Calibri"/>
        <scheme val="minor"/>
      </font>
      <numFmt numFmtId="167" formatCode="_(* #,##0_);_(* \(#,##0\);_(* &quot;-&quot;??_);_(@_)"/>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border>
      <protection locked="0" hidden="0"/>
    </dxf>
    <dxf>
      <font>
        <b val="0"/>
        <i val="0"/>
        <strike val="0"/>
        <condense val="0"/>
        <extend val="0"/>
        <outline val="0"/>
        <shadow val="0"/>
        <u val="none"/>
        <vertAlign val="baseline"/>
        <sz val="12"/>
        <color theme="1"/>
        <name val="Calibri"/>
        <scheme val="minor"/>
      </font>
      <numFmt numFmtId="167" formatCode="_(* #,##0_);_(* \(#,##0\);_(* &quot;-&quot;??_);_(@_)"/>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2"/>
        <color auto="1"/>
        <name val="Calibri"/>
        <family val="2"/>
        <scheme val="minor"/>
      </font>
      <numFmt numFmtId="165" formatCode="0.0"/>
      <fill>
        <patternFill patternType="solid">
          <fgColor indexed="64"/>
          <bgColor theme="6" tint="0.79998168889431442"/>
        </patternFill>
      </fill>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Calibri"/>
        <scheme val="minor"/>
      </font>
      <numFmt numFmtId="167" formatCode="_(* #,##0_);_(* \(#,##0\);_(* &quot;-&quot;??_);_(@_)"/>
      <fill>
        <patternFill patternType="solid">
          <fgColor indexed="64"/>
          <bgColor theme="6" tint="0.59999389629810485"/>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Calibri"/>
        <scheme val="minor"/>
      </font>
      <numFmt numFmtId="0" formatCode="General"/>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59999389629810485"/>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59999389629810485"/>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left style="thin">
          <color auto="1"/>
        </left>
        <right style="thin">
          <color auto="1"/>
        </right>
        <top style="medium">
          <color auto="1"/>
        </top>
        <bottom style="thin">
          <color auto="1"/>
        </bottom>
      </border>
    </dxf>
    <dxf>
      <alignment horizontal="general" vertical="center" textRotation="0" justifyLastLine="0" shrinkToFit="0"/>
      <protection locked="0" hidden="0"/>
    </dxf>
    <dxf>
      <font>
        <b/>
        <i val="0"/>
        <strike val="0"/>
        <condense val="0"/>
        <extend val="0"/>
        <outline val="0"/>
        <shadow val="0"/>
        <u val="none"/>
        <vertAlign val="baseline"/>
        <sz val="12"/>
        <color auto="1"/>
        <name val="Calibri"/>
        <scheme val="minor"/>
      </font>
      <fill>
        <patternFill patternType="none">
          <fgColor indexed="64"/>
        </patternFill>
      </fill>
      <alignment horizontal="center" vertical="center" textRotation="0" wrapText="1" indent="0" justifyLastLine="0" shrinkToFit="0" readingOrder="0"/>
      <border diagonalUp="0" diagonalDown="0">
        <left style="thin">
          <color auto="1"/>
        </left>
        <right style="thin">
          <color auto="1"/>
        </right>
        <top/>
        <bottom/>
      </border>
      <protection locked="0" hidden="0"/>
    </dxf>
    <dxf>
      <font>
        <strike val="0"/>
        <outline val="0"/>
        <shadow val="0"/>
        <u val="none"/>
        <vertAlign val="baseline"/>
        <sz val="12"/>
        <name val="Calibri"/>
        <scheme val="minor"/>
      </font>
      <numFmt numFmtId="5" formatCode="#,##0_);\(#,##0\)"/>
      <fill>
        <patternFill patternType="solid">
          <fgColor indexed="64"/>
          <bgColor theme="4" tint="0.79998168889431442"/>
        </patternFill>
      </fill>
      <alignment horizontal="general" vertical="center" textRotation="0" indent="0" justifyLastLine="0" shrinkToFit="0"/>
      <border diagonalUp="0" diagonalDown="0" outline="0">
        <left style="thin">
          <color auto="1"/>
        </left>
        <right style="thin">
          <color auto="1"/>
        </right>
        <top style="thin">
          <color auto="1"/>
        </top>
        <bottom style="thin">
          <color auto="1"/>
        </bottom>
      </border>
      <protection locked="1" hidden="1"/>
    </dxf>
    <dxf>
      <font>
        <strike val="0"/>
        <outline val="0"/>
        <shadow val="0"/>
        <u val="none"/>
        <vertAlign val="baseline"/>
        <sz val="12"/>
        <name val="Calibri"/>
        <scheme val="minor"/>
      </font>
      <numFmt numFmtId="166" formatCode="#,##0.0"/>
      <fill>
        <patternFill patternType="solid">
          <fgColor indexed="64"/>
          <bgColor theme="4" tint="0.79998168889431442"/>
        </patternFill>
      </fill>
      <alignment horizontal="general" vertical="center" textRotation="0" indent="0" justifyLastLine="0" shrinkToFit="0"/>
      <border diagonalUp="0" diagonalDown="0" outline="0">
        <left style="thin">
          <color auto="1"/>
        </left>
        <right style="thin">
          <color auto="1"/>
        </right>
        <top style="thin">
          <color auto="1"/>
        </top>
        <bottom style="thin">
          <color auto="1"/>
        </bottom>
      </border>
      <protection locked="1" hidden="1"/>
    </dxf>
    <dxf>
      <font>
        <strike val="0"/>
        <outline val="0"/>
        <shadow val="0"/>
        <u val="none"/>
        <vertAlign val="baseline"/>
        <sz val="12"/>
        <name val="Calibri"/>
        <scheme val="minor"/>
      </font>
      <numFmt numFmtId="2" formatCode="0.00"/>
      <fill>
        <patternFill patternType="solid">
          <fgColor indexed="64"/>
          <bgColor theme="4" tint="0.79998168889431442"/>
        </patternFill>
      </fill>
      <alignment horizontal="general" vertical="center" textRotation="0" indent="0" justifyLastLine="0" shrinkToFit="0"/>
      <border diagonalUp="0" diagonalDown="0" outline="0">
        <left style="thin">
          <color auto="1"/>
        </left>
        <right style="thin">
          <color auto="1"/>
        </right>
        <top style="thin">
          <color auto="1"/>
        </top>
        <bottom style="thin">
          <color auto="1"/>
        </bottom>
      </border>
      <protection locked="1" hidden="1"/>
    </dxf>
    <dxf>
      <font>
        <strike val="0"/>
        <outline val="0"/>
        <shadow val="0"/>
        <u val="none"/>
        <vertAlign val="baseline"/>
        <sz val="12"/>
        <name val="Calibri"/>
        <scheme val="minor"/>
      </font>
      <numFmt numFmtId="0" formatCode="General"/>
      <fill>
        <patternFill patternType="solid">
          <fgColor indexed="64"/>
          <bgColor theme="6" tint="0.79998168889431442"/>
        </patternFill>
      </fill>
      <alignment horizontal="general" vertical="center" textRotation="0" indent="0" justifyLastLine="0" shrinkToFit="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2"/>
        <name val="Calibri"/>
        <scheme val="minor"/>
      </font>
      <numFmt numFmtId="0" formatCode="General"/>
      <fill>
        <patternFill patternType="solid">
          <fgColor indexed="64"/>
          <bgColor theme="6" tint="0.79998168889431442"/>
        </patternFill>
      </fill>
      <alignment horizontal="general" vertical="center" textRotation="0" indent="0" justifyLastLine="0" shrinkToFit="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2"/>
        <name val="Calibri"/>
        <scheme val="minor"/>
      </font>
      <numFmt numFmtId="167" formatCode="_(* #,##0_);_(* \(#,##0\);_(* &quot;-&quot;??_);_(@_)"/>
      <fill>
        <patternFill patternType="solid">
          <fgColor indexed="64"/>
          <bgColor theme="6" tint="0.59999389629810485"/>
        </patternFill>
      </fill>
      <alignment horizontal="general" vertical="center" textRotation="0" indent="0" justifyLastLine="0" shrinkToFit="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2"/>
        <color auto="1"/>
        <name val="Calibri"/>
        <scheme val="minor"/>
      </font>
      <numFmt numFmtId="0" formatCode="General"/>
      <fill>
        <patternFill patternType="solid">
          <fgColor indexed="64"/>
          <bgColor theme="6" tint="0.59999389629810485"/>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Calibri"/>
        <family val="2"/>
        <scheme val="minor"/>
      </font>
      <numFmt numFmtId="0" formatCode="General"/>
      <fill>
        <patternFill patternType="solid">
          <fgColor indexed="64"/>
          <bgColor theme="6" tint="0.59999389629810485"/>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2"/>
        <color theme="1"/>
        <name val="Calibri"/>
        <family val="2"/>
        <scheme val="minor"/>
      </font>
      <numFmt numFmtId="0" formatCode="General"/>
      <fill>
        <patternFill patternType="solid">
          <fgColor indexed="64"/>
          <bgColor theme="6" tint="0.79998168889431442"/>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2"/>
        <color theme="1"/>
        <name val="Calibri"/>
        <family val="2"/>
        <scheme val="minor"/>
      </font>
      <numFmt numFmtId="0" formatCode="General"/>
      <fill>
        <patternFill patternType="solid">
          <fgColor indexed="64"/>
          <bgColor theme="6" tint="0.59999389629810485"/>
        </patternFill>
      </fill>
      <alignment horizontal="general" vertical="center" textRotation="0" wrapText="0" indent="0" justifyLastLine="0" shrinkToFit="0" readingOrder="0"/>
      <border diagonalUp="0" diagonalDown="0">
        <left style="thin">
          <color auto="1"/>
        </left>
        <right style="thin">
          <color auto="1"/>
        </right>
        <top style="thin">
          <color auto="1"/>
        </top>
        <bottom/>
        <vertical/>
        <horizontal/>
      </border>
      <protection locked="0" hidden="0"/>
    </dxf>
    <dxf>
      <font>
        <strike val="0"/>
        <outline val="0"/>
        <shadow val="0"/>
        <u val="none"/>
        <vertAlign val="baseline"/>
        <sz val="12"/>
        <name val="Calibri"/>
        <scheme val="minor"/>
      </font>
      <numFmt numFmtId="0" formatCode="General"/>
      <fill>
        <patternFill patternType="solid">
          <fgColor indexed="64"/>
          <bgColor theme="6" tint="0.59999389629810485"/>
        </patternFill>
      </fill>
      <alignment horizontal="general" vertical="center" textRotation="0" indent="0" justifyLastLine="0" shrinkToFit="0"/>
      <border diagonalUp="0" diagonalDown="0" outline="0">
        <left style="thin">
          <color auto="1"/>
        </left>
        <right style="thin">
          <color auto="1"/>
        </right>
        <top style="thin">
          <color auto="1"/>
        </top>
        <bottom style="thin">
          <color auto="1"/>
        </bottom>
      </border>
      <protection locked="0" hidden="0"/>
    </dxf>
    <dxf>
      <border outline="0">
        <left style="medium">
          <color auto="1"/>
        </left>
        <right style="thin">
          <color auto="1"/>
        </right>
        <top style="medium">
          <color auto="1"/>
        </top>
        <bottom style="thin">
          <color auto="1"/>
        </bottom>
      </border>
    </dxf>
    <dxf>
      <font>
        <strike val="0"/>
        <outline val="0"/>
        <shadow val="0"/>
        <u val="none"/>
        <vertAlign val="baseline"/>
        <sz val="12"/>
        <name val="Calibri"/>
        <scheme val="minor"/>
      </font>
      <numFmt numFmtId="0" formatCode="General"/>
      <alignment horizontal="general" vertical="center" textRotation="0" indent="0" justifyLastLine="0" shrinkToFit="0"/>
      <protection locked="0" hidden="0"/>
    </dxf>
    <dxf>
      <border>
        <bottom style="medium">
          <color auto="1"/>
        </bottom>
      </border>
    </dxf>
    <dxf>
      <font>
        <b val="0"/>
        <i val="0"/>
        <strike val="0"/>
        <condense val="0"/>
        <extend val="0"/>
        <outline val="0"/>
        <shadow val="0"/>
        <u val="none"/>
        <vertAlign val="baseline"/>
        <sz val="12"/>
        <color auto="1"/>
        <name val="Calibri"/>
        <scheme val="minor"/>
      </font>
      <alignment horizontal="center" vertical="center" textRotation="0" wrapText="1" indent="0" justifyLastLine="0" shrinkToFit="0" readingOrder="0"/>
      <border diagonalUp="0" diagonalDown="0">
        <left/>
        <right/>
        <top/>
        <bottom/>
        <vertical/>
        <horizontal/>
      </border>
      <protection locked="0" hidden="0"/>
    </dxf>
    <dxf>
      <fill>
        <patternFill>
          <bgColor rgb="FFFFFF0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ont>
        <strike val="0"/>
        <color auto="1"/>
      </font>
      <fill>
        <patternFill>
          <bgColor theme="4" tint="0.59996337778862885"/>
        </patternFill>
      </fill>
    </dxf>
    <dxf>
      <fill>
        <patternFill>
          <bgColor rgb="FFFFFF00"/>
        </patternFill>
      </fill>
    </dxf>
    <dxf>
      <fill>
        <patternFill>
          <bgColor rgb="FFFFFF00"/>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fmlaLink="B42" lockText="1" noThreeD="1"/>
</file>

<file path=xl/ctrlProps/ctrlProp2.xml><?xml version="1.0" encoding="utf-8"?>
<formControlPr xmlns="http://schemas.microsoft.com/office/spreadsheetml/2009/9/main" objectType="CheckBox" fmlaLink="B69" lockText="1" noThreeD="1"/>
</file>

<file path=xl/ctrlProps/ctrlProp3.xml><?xml version="1.0" encoding="utf-8"?>
<formControlPr xmlns="http://schemas.microsoft.com/office/spreadsheetml/2009/9/main" objectType="CheckBox" fmlaLink="B44" lockText="1" noThreeD="1"/>
</file>

<file path=xl/ctrlProps/ctrlProp4.xml><?xml version="1.0" encoding="utf-8"?>
<formControlPr xmlns="http://schemas.microsoft.com/office/spreadsheetml/2009/9/main" objectType="CheckBox" fmlaLink="B40" lockText="1" noThreeD="1"/>
</file>

<file path=xl/ctrlProps/ctrlProp5.xml><?xml version="1.0" encoding="utf-8"?>
<formControlPr xmlns="http://schemas.microsoft.com/office/spreadsheetml/2009/9/main" objectType="CheckBox" fmlaLink="$C$53" lockText="1" noThreeD="1"/>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12700</xdr:colOff>
          <xdr:row>38</xdr:row>
          <xdr:rowOff>190500</xdr:rowOff>
        </xdr:from>
        <xdr:to>
          <xdr:col>1</xdr:col>
          <xdr:colOff>647700</xdr:colOff>
          <xdr:row>40</xdr:row>
          <xdr:rowOff>76200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40</xdr:row>
          <xdr:rowOff>190500</xdr:rowOff>
        </xdr:from>
        <xdr:to>
          <xdr:col>1</xdr:col>
          <xdr:colOff>406400</xdr:colOff>
          <xdr:row>42</xdr:row>
          <xdr:rowOff>76200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000-000009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50800</xdr:colOff>
          <xdr:row>68</xdr:row>
          <xdr:rowOff>0</xdr:rowOff>
        </xdr:from>
        <xdr:to>
          <xdr:col>1</xdr:col>
          <xdr:colOff>444500</xdr:colOff>
          <xdr:row>69</xdr:row>
          <xdr:rowOff>127000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000-00000B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42</xdr:row>
          <xdr:rowOff>165100</xdr:rowOff>
        </xdr:from>
        <xdr:to>
          <xdr:col>1</xdr:col>
          <xdr:colOff>393700</xdr:colOff>
          <xdr:row>44</xdr:row>
          <xdr:rowOff>50800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000-00000D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1600200</xdr:colOff>
          <xdr:row>52</xdr:row>
          <xdr:rowOff>12700</xdr:rowOff>
        </xdr:from>
        <xdr:to>
          <xdr:col>2</xdr:col>
          <xdr:colOff>2235200</xdr:colOff>
          <xdr:row>53</xdr:row>
          <xdr:rowOff>50800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300-000003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13</xdr:col>
      <xdr:colOff>740682</xdr:colOff>
      <xdr:row>145</xdr:row>
      <xdr:rowOff>31750</xdr:rowOff>
    </xdr:from>
    <xdr:to>
      <xdr:col>17</xdr:col>
      <xdr:colOff>731884</xdr:colOff>
      <xdr:row>151</xdr:row>
      <xdr:rowOff>1187450</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22457682" y="16287750"/>
          <a:ext cx="7242902" cy="61341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bl_ReplacedVeh_User" displayName="tbl_ReplacedVeh_User" ref="B17:O26" totalsRowShown="0" headerRowDxfId="181" dataDxfId="179" headerRowBorderDxfId="180" tableBorderDxfId="178">
  <autoFilter ref="B17:O26" xr:uid="{00000000-0009-0000-0100-00000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0000-000001000000}" name="*Description/unique ID" dataDxfId="177"/>
    <tableColumn id="14" xr3:uid="{458F18D6-15D7-8D4C-AC1E-12F9CF4D5BCB}" name="*Make and Model of Replaced Vehicles" dataDxfId="176"/>
    <tableColumn id="6" xr3:uid="{FB135680-D9AE-4256-A59E-A4C32215CCFD}" name="Vehicle Type" dataDxfId="175"/>
    <tableColumn id="13" xr3:uid="{22847E2B-7EDD-114F-ACFB-DA5FD7B529F4}" name="*Model Year Retired" dataDxfId="174"/>
    <tableColumn id="2" xr3:uid="{00000000-0010-0000-0000-000002000000}" name="*Number of Vehicles" dataDxfId="173"/>
    <tableColumn id="3" xr3:uid="{00000000-0010-0000-0000-000003000000}" name="*Average VMT of Replaced Vehicles (miles/year/vehicle)" dataDxfId="172" dataCellStyle="Comma"/>
    <tableColumn id="4" xr3:uid="{00000000-0010-0000-0000-000004000000}" name="*Fuel Used in Replaced Vehicle" dataDxfId="171"/>
    <tableColumn id="5" xr3:uid="{00000000-0010-0000-0000-000005000000}" name="*Fuel Economy of Replaced Vehicle (miles/gallon)" dataDxfId="170"/>
    <tableColumn id="7" xr3:uid="{00000000-0010-0000-0000-000007000000}" name="GGE Conversion Factor" dataDxfId="169">
      <calculatedColumnFormula>IF(tbl_ReplacedVeh_User[[#This Row],[*Fuel Used in Replaced Vehicle]]="","",VLOOKUP(tbl_ReplacedVeh_User[[#This Row],[*Fuel Used in Replaced Vehicle]],Tbl_Fuel_Conversions,3,FALSE))</calculatedColumnFormula>
    </tableColumn>
    <tableColumn id="8" xr3:uid="{00000000-0010-0000-0000-000008000000}" name="Fuel Economy of Replaced Vehicle (miles/GGE)" dataDxfId="168">
      <calculatedColumnFormula>IF(tbl_ReplacedVeh_User[[#This Row],[GGE Conversion Factor]]="","",tbl_ReplacedVeh_User[[#This Row],[*Fuel Economy of Replaced Vehicle (miles/gallon)]]/tbl_ReplacedVeh_User[[#This Row],[GGE Conversion Factor]])</calculatedColumnFormula>
    </tableColumn>
    <tableColumn id="9" xr3:uid="{00000000-0010-0000-0000-000009000000}" name="Petroleum Used in Replaced Vehicle (GGE/year/ vehicle)" dataDxfId="167" dataCellStyle="Comma">
      <calculatedColumnFormula>IF(tbl_ReplacedVeh_User[[#This Row],[Fuel Economy of Replaced Vehicle (miles/GGE)]]="","",tbl_ReplacedVeh_User[[#This Row],[*Average VMT of Replaced Vehicles (miles/year/vehicle)]]/tbl_ReplacedVeh_User[[#This Row],[Fuel Economy of Replaced Vehicle (miles/GGE)]])</calculatedColumnFormula>
    </tableColumn>
    <tableColumn id="10" xr3:uid="{00000000-0010-0000-0000-00000A000000}" name="Number Remaining" dataDxfId="3">
      <calculatedColumnFormula>SUMIF(tbl_ReplacedVeh_User[*Description/unique ID],tbl_ReplacedVeh_User[[#This Row],[*Description/unique ID]],tbl_ReplacedVeh_User[*Number of Vehicles])-SUMIF(tbl_ReplacewAlt_user[*Vehicle Being Replaced],tbl_ReplacedVeh_User[[#This Row],[*Description/unique ID]],tbl_ReplacewAlt_user[*Number of Replacement Vehicles])</calculatedColumnFormula>
    </tableColumn>
    <tableColumn id="11" xr3:uid="{00000000-0010-0000-0000-00000B000000}" name="Vehicle List Rows" dataDxfId="2">
      <calculatedColumnFormula>IF(tbl_ReplacedVeh_User[[#This Row],[Number Remaining]]&lt;=0,"",ROW())</calculatedColumnFormula>
    </tableColumn>
    <tableColumn id="12" xr3:uid="{00000000-0010-0000-0000-00000C000000}" name="Vehicles Remaining" dataDxfId="1">
      <calculatedColumnFormula>IF(ROW(M18)-ROW(M$18)+1&gt;COUNTIF(tbl_ReplacedVeh_User[Number Remaining],"&gt;0"),"",INDEX(tbl_ReplacedVeh_User[*Description/unique ID],LARGE(tbl_ReplacedVeh_User[Vehicle List Rows],1+ROW(M18)-ROW(M$18))+1-ROW(M$18)))</calculatedColumnFormula>
    </tableColumn>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9000000}" name="General_Fuel_List" displayName="General_Fuel_List" ref="C114:E124" totalsRowShown="0" headerRowDxfId="75" headerRowBorderDxfId="74" tableBorderDxfId="73">
  <autoFilter ref="C114:E124" xr:uid="{00000000-0009-0000-0100-000003000000}"/>
  <tableColumns count="3">
    <tableColumn id="1" xr3:uid="{00000000-0010-0000-0900-000001000000}" name="ACV_Fuel_Lookup" dataDxfId="72"/>
    <tableColumn id="2" xr3:uid="{00000000-0010-0000-0900-000002000000}" name="Fuel List Value" dataDxfId="71"/>
    <tableColumn id="3" xr3:uid="{00000000-0010-0000-0900-000003000000}" name="Percent_Alt_Fuel" dataDxfId="70" dataCellStyle="Percent"/>
  </tableColumns>
  <tableStyleInfo name="TableStyleLight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A000000}" name="Idle_fuel_lists_load" displayName="Idle_fuel_lists_load" ref="C185:N187" totalsRowShown="0">
  <autoFilter ref="C185:N187" xr:uid="{00000000-0009-0000-0100-000005000000}"/>
  <tableColumns count="12">
    <tableColumn id="1" xr3:uid="{00000000-0010-0000-0A00-000001000000}" name="Load Selection"/>
    <tableColumn id="2" xr3:uid="{00000000-0010-0000-0A00-000002000000}" name="Passenger Car (Ford Focus) (Class 1, Fuel - G, Engine l - 2, GVWR - lb)"/>
    <tableColumn id="3" xr3:uid="{00000000-0010-0000-0A00-000003000000}" name="Passenger Car (Volkswagen Jetta) (Class 1, Fuel - D, Engine l - 2, GVWR - lb)"/>
    <tableColumn id="4" xr3:uid="{00000000-0010-0000-0A00-000004000000}" name="Passenger Car (Ford Crown Victoria) (Class 1, Fuel - G, Engine l - 4.6, GVWR - lb)"/>
    <tableColumn id="5" xr3:uid="{00000000-0010-0000-0A00-000005000000}" name="Medium Heavy Truck (Class 6, Fuel - G, Engine l - 5-7, GVWR 19,700 - 26,000 lb)"/>
    <tableColumn id="6" xr3:uid="{00000000-0010-0000-0A00-000006000000}" name="Delivery Truck (Class 5, Fuel - D, Engine l - -, GVWR 19,500 lb)"/>
    <tableColumn id="7" xr3:uid="{00000000-0010-0000-0A00-000007000000}" name="Tow Truck (Class 6, Fuel - D, Engine l - -, GVWR 26,000 lb)"/>
    <tableColumn id="8" xr3:uid="{00000000-0010-0000-0A00-000008000000}" name="Medium Heavy Truck (Class 6 - 7, Fuel - D, Engine l - 6 - 10, GVWR 23,000 - 33,000 lb)"/>
    <tableColumn id="9" xr3:uid="{00000000-0010-0000-0A00-000009000000}" name="Transit Bus (Class 7, Fuel - D, Engine l - -, GVWR 30,000 lb)"/>
    <tableColumn id="10" xr3:uid="{00000000-0010-0000-0A00-00000A000000}" name="Combination Truck (Class 7, Fuel - D, Engine l - -, GVWR 32,000 lb)"/>
    <tableColumn id="11" xr3:uid="{00000000-0010-0000-0A00-00000B000000}" name="Bucket Truck (Class 8, Fuel - D, Engine l - -, GVWR 37,000 lb)"/>
    <tableColumn id="12" xr3:uid="{00000000-0010-0000-0A00-00000C000000}" name="Tractor-Semitrailer (Class 8, Fuel - D, Engine l - -, GVWR 80,000 lb)"/>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B000000}" name="Idle_fuel_lists_noload" displayName="Idle_fuel_lists_noload" ref="C190:N192" totalsRowShown="0">
  <autoFilter ref="C190:N192" xr:uid="{00000000-0009-0000-0100-000006000000}"/>
  <tableColumns count="12">
    <tableColumn id="1" xr3:uid="{00000000-0010-0000-0B00-000001000000}" name="Load Selection"/>
    <tableColumn id="2" xr3:uid="{00000000-0010-0000-0B00-000002000000}" name="Passenger Car (Ford Focus) (Class 1, Fuel - G, Engine l - 2, GVWR - lb)"/>
    <tableColumn id="3" xr3:uid="{00000000-0010-0000-0B00-000003000000}" name="Passenger Car (Volkswagen Jetta) (Class 1, Fuel - D, Engine l - 2, GVWR - lb)"/>
    <tableColumn id="4" xr3:uid="{00000000-0010-0000-0B00-000004000000}" name="Passenger Car (Ford Crown Victoria) (Class 1, Fuel - G, Engine l - 4.6, GVWR - lb)"/>
    <tableColumn id="5" xr3:uid="{00000000-0010-0000-0B00-000005000000}" name="Medium Heavy Truck (Class 6, Fuel - G, Engine l - 5-7, GVWR 19,700 - 26,000 lb)"/>
    <tableColumn id="6" xr3:uid="{00000000-0010-0000-0B00-000006000000}" name="Delivery Truck (Class 5, Fuel - D, Engine l - -, GVWR 19,500 lb)"/>
    <tableColumn id="7" xr3:uid="{00000000-0010-0000-0B00-000007000000}" name="Tow Truck (Class 6, Fuel - D, Engine l - -, GVWR 26,000 lb)"/>
    <tableColumn id="8" xr3:uid="{00000000-0010-0000-0B00-000008000000}" name="Medium Heavy Truck (Class 6 - 7, Fuel - D, Engine l - 6 - 10, GVWR 23,000 - 33,000 lb)"/>
    <tableColumn id="9" xr3:uid="{00000000-0010-0000-0B00-000009000000}" name="Transit Bus (Class 7, Fuel - D, Engine l - -, GVWR 30,000 lb)"/>
    <tableColumn id="10" xr3:uid="{00000000-0010-0000-0B00-00000A000000}" name="Combination Truck (Class 7, Fuel - D, Engine l - -, GVWR 32,000 lb)"/>
    <tableColumn id="11" xr3:uid="{00000000-0010-0000-0B00-00000B000000}" name="Bucket Truck (Class 8, Fuel - D, Engine l - -, GVWR 37,000 lb)"/>
    <tableColumn id="12" xr3:uid="{00000000-0010-0000-0B00-00000C000000}" name="Tractor-Semitrailer (Class 8, Fuel - D, Engine l - -, GVWR 80,000 lb)"/>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C8387B21-2FEC-4FC0-AFFA-7C77FA630F4F}" name="TBL_Replaced_Veh_MPG" displayName="TBL_Replaced_Veh_MPG" ref="C7:S9" totalsRowShown="0" headerRowDxfId="69">
  <autoFilter ref="C7:S9" xr:uid="{DD8ADE76-067F-4C63-A9D1-C74DD37EEA37}"/>
  <tableColumns count="17">
    <tableColumn id="2" xr3:uid="{832724AA-1DBA-46EF-B926-7F538EB31CBE}" name="Car"/>
    <tableColumn id="3" xr3:uid="{377F5B6C-420F-4F6E-B2FF-036C7ABE79F0}" name="Car SUV"/>
    <tableColumn id="4" xr3:uid="{0AA945C5-6D51-4F1A-B7FD-B275EAB3303F}" name="Pickup"/>
    <tableColumn id="5" xr3:uid="{F21EACC6-681A-4946-AAF4-950695DB4A4A}" name="Truck Sport utility vehicle (SUV)"/>
    <tableColumn id="6" xr3:uid="{A34DEA96-45CE-4015-B987-E1044F8CC388}" name="Van"/>
    <tableColumn id="7" xr3:uid="{C46F9EA0-93BB-45AA-B616-4757EB9C67F4}" name="Light-duty trucks 1) 6000 lbs and less"/>
    <tableColumn id="8" xr3:uid="{01DACFF2-FDBD-476B-BB28-1ADED2683FF0}" name="Light-duty trucks 2) 6,001–10,000 lbs"/>
    <tableColumn id="9" xr3:uid="{A648431C-B4A4-4EE5-BD31-5B9AB2F29657}" name="Medium-duty trucks 3) 10,000–14,000 lbs"/>
    <tableColumn id="10" xr3:uid="{BEFA3756-AB75-4A8D-9EB7-F975AB881FB2}" name="Medium-duty trucks 4) 14,001–16,000 lbs"/>
    <tableColumn id="11" xr3:uid="{735283B7-A31E-44B9-96CC-BEEA47735567}" name="Medium-duty trucks 5) 16,001–19,500 lbs"/>
    <tableColumn id="12" xr3:uid="{0BF51A71-5C2C-484E-8432-416C7367686E}" name="Medium-duty trucks 6) 19,501–26,000 lbs"/>
    <tableColumn id="13" xr3:uid="{C6B9414A-5E00-473D-8A3A-46DC1ED23C02}" name="Heavy-duty trucks 7) 26,001–33,000 lbs"/>
    <tableColumn id="14" xr3:uid="{52BD1CD0-B8D8-4E9F-B53D-FDA40727989A}" name="Heavy-duty trucks 8) 33001 lbs and over"/>
    <tableColumn id="15" xr3:uid="{F8F17F6E-F1C7-4241-B112-7AAA28832E4A}" name="Shuttle/Paratransit Van"/>
    <tableColumn id="16" xr3:uid="{86E49B96-1529-0F43-AE84-6095F477DA12}" name="Utility Cargo Van"/>
    <tableColumn id="17" xr3:uid="{189EFB0C-5B72-F541-99D9-8E37456BB6AB}" name="Shuttle/Paratransit Bus"/>
    <tableColumn id="18" xr3:uid="{F69A5A0B-DF4F-5A4B-A245-958BBA6DEBF5}" name="Bucket/Aerial Truck"/>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0A72DAD-2765-4F4B-88B0-707CA4CABE55}" name="TBL_Replacement_Veh_MPG" displayName="TBL_Replacement_Veh_MPG" ref="C14:S16" totalsRowShown="0" headerRowDxfId="68">
  <autoFilter ref="C14:S16" xr:uid="{4F42033D-C8BC-41FF-89B5-BF2253759729}"/>
  <tableColumns count="17">
    <tableColumn id="2" xr3:uid="{79535983-290B-4376-835C-BCEFD6774BA4}" name="Car"/>
    <tableColumn id="3" xr3:uid="{BDD0F21C-0D3E-4628-AB21-46B94E44CC53}" name="Car SUV"/>
    <tableColumn id="4" xr3:uid="{75348CE0-4DA6-4E05-867B-704B6AB77EE7}" name="Pickup"/>
    <tableColumn id="5" xr3:uid="{C5B121FC-8D3E-4403-9621-9DB321570C50}" name="Truck Sport utility vehicle (SUV)"/>
    <tableColumn id="6" xr3:uid="{C4651A31-1425-4AC6-BB93-B08C702004FC}" name="Van"/>
    <tableColumn id="7" xr3:uid="{835C72B0-1568-4F0C-A52E-0D1E96173A59}" name="Light-duty trucks 1) 6000 lbs and less"/>
    <tableColumn id="8" xr3:uid="{09CB5EAD-94AF-46AF-9015-E2DEB5CFA65C}" name="Light-duty trucks 2) 6,001–10,000 lbs"/>
    <tableColumn id="9" xr3:uid="{C1C3B296-050C-41DE-B2E0-8D3B16A258D8}" name="Medium-duty trucks 3) 10,000–14,000 lbs"/>
    <tableColumn id="10" xr3:uid="{FC731EE3-172B-49D8-80C2-822D87A75302}" name="Medium-duty trucks 4) 14,001–16,000 lbs"/>
    <tableColumn id="11" xr3:uid="{FF14722C-B9C5-4475-82C0-FE5C31C595F7}" name="Medium-duty trucks 5) 16,001–19,500 lbs"/>
    <tableColumn id="12" xr3:uid="{ADEA3B2A-48A4-462B-BF29-7C78F20A807F}" name="Medium-duty trucks 6) 19,501–26,000 lbs"/>
    <tableColumn id="13" xr3:uid="{00BAD2BA-F9EF-4EA8-A656-0A0107CE08E0}" name="Heavy-duty trucks 7) 26,001–33,000 lbs"/>
    <tableColumn id="14" xr3:uid="{9B8E3360-653C-4857-914B-6BC69DCE42BA}" name="Heavy-duty trucks 8) 33001 lbs and over"/>
    <tableColumn id="15" xr3:uid="{2DA2A551-B8BE-E54B-A9E0-07A93F506106}" name="Shuttle/Paratransit Van"/>
    <tableColumn id="16" xr3:uid="{A439439F-BA8F-2647-91FD-89792D42386A}" name="Utility Cargo Van"/>
    <tableColumn id="18" xr3:uid="{5901B4EC-F028-A74E-B4CA-C1BCDE7E1982}" name="Shuttle/Paratransit Bus"/>
    <tableColumn id="19" xr3:uid="{CF94897E-F53F-3245-B064-A9AF1233DB8A}" name="Bucket/Aerial Truck"/>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FF7C691-4B09-0D49-ABE7-2724B2563FD2}" name="TBL_OnboardIdle_fuels" displayName="TBL_OnboardIdle_fuels" ref="C137:F144" totalsRowShown="0">
  <autoFilter ref="C137:F144" xr:uid="{DFF7C691-4B09-0D49-ABE7-2724B2563FD2}"/>
  <tableColumns count="4">
    <tableColumn id="2" xr3:uid="{5D50A996-C4F0-714E-99E0-04DC6F2DD2AE}" name="M/HD Vehicle APU"/>
    <tableColumn id="1" xr3:uid="{F989C163-6FD1-D14D-A3D7-96C9FB4A1E13}" name="LD Vehicle APU"/>
    <tableColumn id="3" xr3:uid="{681DE75B-2FFD-AC43-A72F-B49D0DF20168}" name="Direct-fired heater"/>
    <tableColumn id="4" xr3:uid="{016BC96E-3C76-CD45-A4B7-AEFACFD9F70B}" name="Direct heat with thermal storage cooling"/>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6CCDA88-9695-3547-B842-ECC8FACE0816}" name="TBL_OnboardIR" displayName="TBL_OnboardIR" ref="L148:M152" totalsRowShown="0" headerRowDxfId="67" headerRowBorderDxfId="66" tableBorderDxfId="65" totalsRowBorderDxfId="64">
  <autoFilter ref="L148:M152" xr:uid="{D6CCDA88-9695-3547-B842-ECC8FACE0816}"/>
  <tableColumns count="2">
    <tableColumn id="1" xr3:uid="{794E21A8-1BF1-7C4F-B0B7-E6D0256A69DC}" name="Onboard_Equip" dataDxfId="63"/>
    <tableColumn id="6" xr3:uid="{6C988C7C-4DF9-D143-BDB5-59274E714ACE}" name="Data Source and Notes (electric APU)" dataDxfId="62"/>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93CBCF45-2624-9B4D-8A93-193BD06B8163}" name="TBL_APU_GGE_Savings" displayName="TBL_APU_GGE_Savings" ref="C148:J152" totalsRowShown="0">
  <autoFilter ref="C148:J152" xr:uid="{93CBCF45-2624-9B4D-8A93-193BD06B8163}"/>
  <tableColumns count="8">
    <tableColumn id="1" xr3:uid="{B81D06F7-92F8-F44B-8AFF-62958F1F72EA}" name="Onboard IR Type"/>
    <tableColumn id="2" xr3:uid="{C7E28A25-48C8-3D48-AE4E-E37AF5463198}" name="Battery"/>
    <tableColumn id="3" xr3:uid="{F18332CD-9E0B-4C4A-B63F-8DDB76C9563B}" name="Diesel" dataDxfId="61"/>
    <tableColumn id="4" xr3:uid="{73164EB1-EC79-9045-883B-A2A8B47F615A}" name="Gasoline" dataDxfId="60"/>
    <tableColumn id="5" xr3:uid="{82EE441C-350A-C34A-BD24-5ED473F6C562}" name="B2"/>
    <tableColumn id="6" xr3:uid="{8FD85AEC-85E8-3B4B-8AEA-3D7C3E58D38B}" name="B5"/>
    <tableColumn id="7" xr3:uid="{B822CC06-A6B7-814A-904F-0D7BC92BDD22}" name="B10"/>
    <tableColumn id="8" xr3:uid="{9EF07631-BC56-1F47-AAD0-757361C452A6}" name="B20"/>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CD04E63-5C8A-904C-ADAC-8DBE2B5ADDDE}" name="TBL_OnboardIR_hrs" displayName="TBL_OnboardIR_hrs" ref="C156:G158" totalsRowShown="0">
  <autoFilter ref="C156:G158" xr:uid="{1CD04E63-5C8A-904C-ADAC-8DBE2B5ADDDE}"/>
  <tableColumns count="5">
    <tableColumn id="1" xr3:uid="{069BB7BE-5C7E-7646-85E3-3F5290DF5960}" name="Hours"/>
    <tableColumn id="5" xr3:uid="{508E105F-AC95-5044-ADDC-B7D4F2FEA604}" name="LD Vehicle APU"/>
    <tableColumn id="2" xr3:uid="{25FFEF57-9D4E-7E4F-AFED-83975C8FFE95}" name="M/HD Vehicle APU"/>
    <tableColumn id="3" xr3:uid="{4D7E6843-CDD1-074D-9F13-224F1BDD9E55}" name="Direct-fired heater"/>
    <tableColumn id="4" xr3:uid="{52B62610-6D74-E74C-B32A-8A307A2EF188}" name="Direct heat with thermal storage cooling"/>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AAE4C44-8C5C-CD42-8ACE-DAF762570859}" name="Table13" displayName="Table13" ref="C166:J177" totalsRowShown="0">
  <autoFilter ref="C166:J177" xr:uid="{EAAE4C44-8C5C-CD42-8ACE-DAF762570859}"/>
  <tableColumns count="8">
    <tableColumn id="1" xr3:uid="{4AF4B6AF-26F3-C249-9AE2-F9D6B584F533}" name="Idle_VehicleType" dataDxfId="59">
      <calculatedColumnFormula>D167&amp;" (Class "&amp;E167&amp;", Fuel - "&amp;F167&amp;", Engine l - "&amp;G167&amp;", GVWR "&amp;H167&amp;" lb)"</calculatedColumnFormula>
    </tableColumn>
    <tableColumn id="2" xr3:uid="{164CE5B0-5E83-CE46-BD84-C791F617924F}" name="Vehicle Type"/>
    <tableColumn id="3" xr3:uid="{ECA6E5D9-ADE8-1448-B021-499454AD2EBE}" name="Class" dataDxfId="58"/>
    <tableColumn id="4" xr3:uid="{30B7AECD-CC9F-BF48-B4B8-5146DBB8C0CB}" name="Fuel Type"/>
    <tableColumn id="5" xr3:uid="{D3260156-0B87-8044-82F2-6BB8F688AD23}" name="Engine Size (l)" dataDxfId="57"/>
    <tableColumn id="6" xr3:uid="{FBB917F8-8931-EE47-BEF7-E7BEE7460FFB}" name="GVWR (lb)" dataDxfId="56"/>
    <tableColumn id="7" xr3:uid="{1BC87021-872D-E649-944A-2AB2FFEC64F4}" name="No Load Idling Fuel Use (gal/h)"/>
    <tableColumn id="8" xr3:uid="{48C64241-B5D3-9543-A13B-663C2A07A20F}" name="With Load Idling Fuel Use (gal/h)"/>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1000000}" name="tbl_ReplacewAlt_user" displayName="tbl_ReplacewAlt_user" ref="B34:L39" totalsRowShown="0" headerRowDxfId="166" dataDxfId="165" tableBorderDxfId="164">
  <autoFilter ref="B34:L39" xr:uid="{00000000-0009-0000-0100-00000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100-000001000000}" name="*Make and Model of Replacement Vehicles" dataDxfId="163"/>
    <tableColumn id="2" xr3:uid="{00000000-0010-0000-0100-000002000000}" name="*Vehicle Type (select from list)" dataDxfId="162"/>
    <tableColumn id="3" xr3:uid="{00000000-0010-0000-0100-000003000000}" name="*Vehicle Being Replaced" dataDxfId="161"/>
    <tableColumn id="4" xr3:uid="{00000000-0010-0000-0100-000004000000}" name="*Number of Replacement Vehicles" dataDxfId="160"/>
    <tableColumn id="12" xr3:uid="{00000000-0010-0000-0100-00000C000000}" name="Remaining Number of Vehicles of This Type To Be Replaced" dataDxfId="159">
      <calculatedColumnFormula>IF(tbl_ReplacewAlt_user[[#This Row],[*Make and Model of Replacement Vehicles]]="","",IF(OR(tbl_ReplacewAlt_user[[#This Row],[*Vehicle Being Replaced]]="",max_remaining=0),0,max_remaining))</calculatedColumnFormula>
    </tableColumn>
    <tableColumn id="5" xr3:uid="{00000000-0010-0000-0100-000005000000}" name="*Average VMT of Replacement Vehicles (miles/year/ vehicle)" dataDxfId="158" dataCellStyle="Comma"/>
    <tableColumn id="6" xr3:uid="{00000000-0010-0000-0100-000006000000}" name="*Fuel Type for Replacement Vehicle" dataDxfId="157"/>
    <tableColumn id="11" xr3:uid="{00000000-0010-0000-0100-00000B000000}" name="*Fuel Economy of Replacement Vehicle (miles/GGE)" dataDxfId="156" dataCellStyle="Hyperlink"/>
    <tableColumn id="14" xr3:uid="{00000000-0010-0000-0100-00000E000000}" name="Conventional Fuel Use (GGE)" dataDxfId="155" dataCellStyle="Comma">
      <calculatedColumnFormula>IF(tbl_ReplacewAlt_user[[#This Row],[*Fuel Economy of Replacement Vehicle (miles/GGE)]]="",0,tbl_ReplacewAlt_user[[#This Row],[*Number of Replacement Vehicles]]*tbl_ReplacewAlt_user[[#This Row],[*Average VMT of Replacement Vehicles (miles/year/ vehicle)]]/tbl_ReplacewAlt_user[[#This Row],[*Fuel Economy of Replacement Vehicle (miles/GGE)]])</calculatedColumnFormula>
    </tableColumn>
    <tableColumn id="10" xr3:uid="{00000000-0010-0000-0100-00000A000000}" name="Petroleum Used in Replaced Vehicles (GGE/year) [see Replaced Vehicles table above for details]" dataDxfId="154" dataCellStyle="Comma">
      <calculatedColumnFormula>IF(tbl_ReplacewAlt_user[[#This Row],[*Vehicle Being Replaced]]="",0,INDEX(tbl_ReplacedVeh_User[],MATCH(tbl_ReplacewAlt_user[[#This Row],[*Vehicle Being Replaced]],tbl_ReplacedVeh_User[*Description/unique ID],0),MATCH("Petroleum Used in Replaced Vehicle (GGE/year/ vehicle)",tbl_ReplacedVeh_User[#Headers],0))*tbl_ReplacewAlt_user[[#This Row],[*Number of Replacement Vehicles]])</calculatedColumnFormula>
    </tableColumn>
    <tableColumn id="7" xr3:uid="{00000000-0010-0000-0100-000007000000}" name="Petroleum Reduction from replacement of vehicles (GGE)" dataDxfId="153" dataCellStyle="Comma">
      <calculatedColumnFormula>tbl_ReplacewAlt_user[[#This Row],[Petroleum Used in Replaced Vehicles (GGE/year) '[see Replaced Vehicles table above for details']]]-tbl_ReplacewAlt_user[[#This Row],[Conventional Fuel Use (GGE)]]</calculatedColumnFormula>
    </tableColumn>
  </tableColumns>
  <tableStyleInfo name="TableStyleLight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6AEBA13-1926-8143-8D87-8412551128EB}" name="TBL_AFLEET_GGE" displayName="TBL_AFLEET_GGE" ref="C26:W52" totalsRowShown="0">
  <autoFilter ref="C26:W52" xr:uid="{B6AEBA13-1926-8143-8D87-8412551128EB}"/>
  <sortState xmlns:xlrd2="http://schemas.microsoft.com/office/spreadsheetml/2017/richdata2" ref="C27:W52">
    <sortCondition descending="1" ref="E26:E52"/>
  </sortState>
  <tableColumns count="21">
    <tableColumn id="1" xr3:uid="{3DEA78AD-3206-DF46-9A36-B31311592DEE}" name="Vocation"/>
    <tableColumn id="2" xr3:uid="{19EEABDE-359D-A94E-8E3A-A46A723F3B1B}" name="MOVES Category"/>
    <tableColumn id="3" xr3:uid="{4563DF6E-9E73-B345-88E4-D9CC7C04EA63}" name="Gasoline" dataDxfId="55"/>
    <tableColumn id="4" xr3:uid="{60DE0F4E-79B7-754E-9D07-2EE52A935EA2}" name="Diesel" dataDxfId="54"/>
    <tableColumn id="5" xr3:uid="{E0E3BDD2-9CB8-9D41-92CA-D5F9129F57BD}" name="Gasoline Hybrid Electric Vehicle (HEV)" dataDxfId="53"/>
    <tableColumn id="6" xr3:uid="{BA089F8E-6ED6-0F4A-AAA7-9BFF7D59FA7E}" name="Gasoline Plug-in Hybrid Electric Vehicle (PHEV)" dataDxfId="52"/>
    <tableColumn id="22" xr3:uid="{DC4773DC-DA45-A042-994F-7224BBB36666}" name="Gasoline PHEV original AFLEET values" dataDxfId="51"/>
    <tableColumn id="7" xr3:uid="{0472A982-79A8-1547-9AD7-3AEC9738740F}" name="Gasoline Extended Range Electric Vehicle (EREV)" dataDxfId="50"/>
    <tableColumn id="8" xr3:uid="{95350938-F114-DA4F-AFDD-374E4E92033C}" name="All-Electric Vehicle (EV)" dataDxfId="49"/>
    <tableColumn id="9" xr3:uid="{8DC395CD-6693-854F-80A4-408B3D2378E1}" name="Gaseous Hydrogen (G.H2) Fuel Cell Vehicle (FCV)" dataDxfId="48"/>
    <tableColumn id="10" xr3:uid="{633076D5-6EAD-4C40-A23F-425544E97C61}" name="Diesel Hybrid Electric Vehicle (HEV)" dataDxfId="47"/>
    <tableColumn id="11" xr3:uid="{F3AF0338-DFC0-EC4B-B755-EFEA3AFDD122}" name="Diesel Hydraulic Hybrid (HHV)" dataDxfId="46"/>
    <tableColumn id="12" xr3:uid="{4AEE1E5A-BD1A-5147-BB47-67987967F3CB}" name="Biodiesel (B20)" dataDxfId="45"/>
    <tableColumn id="13" xr3:uid="{C2EC7AD9-2FAB-FB4E-9F82-FD5A93B1E41C}" name="Biodiesel (B100)" dataDxfId="44"/>
    <tableColumn id="14" xr3:uid="{8D52DFC0-35D9-B740-8F55-310C7081798E}" name="Renewable Diesel (RD20)" dataDxfId="43"/>
    <tableColumn id="15" xr3:uid="{FF7F884C-9228-7042-8D7B-F598B63CCE6A}" name="Renewable Diesel (RD100)" dataDxfId="42"/>
    <tableColumn id="16" xr3:uid="{461CEDED-3A43-D943-9C91-3279C4809A9D}" name="Ethanol (E85)" dataDxfId="41"/>
    <tableColumn id="17" xr3:uid="{1398C05C-1A7D-564C-BCD4-47A3C243B397}" name="Propane (LPG)" dataDxfId="40"/>
    <tableColumn id="18" xr3:uid="{52D68C3C-549F-0C43-BC3F-15E8D1167117}" name="Compressed Natural Gas (CNG)" dataDxfId="39"/>
    <tableColumn id="19" xr3:uid="{E1AED806-6F43-E04A-95A9-D1106A50E28A}" name="Liquefied Natural Gas (LNG)" dataDxfId="38"/>
    <tableColumn id="20" xr3:uid="{D1252AD1-A4F8-2E47-A8F6-80C342D97249}" name="LNG / Diesel Pilot Ignition" dataDxfId="37"/>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07981F9-4C06-A74B-8B0E-ACFFA9310A1D}" name="TBL_AFLEET_Fuels" displayName="TBL_AFLEET_Fuels" ref="C59:AD71" totalsRowShown="0">
  <autoFilter ref="C59:AD71" xr:uid="{E07981F9-4C06-A74B-8B0E-ACFFA9310A1D}"/>
  <sortState xmlns:xlrd2="http://schemas.microsoft.com/office/spreadsheetml/2017/richdata2" ref="C60:AD70">
    <sortCondition ref="E59:E70"/>
  </sortState>
  <tableColumns count="28">
    <tableColumn id="1" xr3:uid="{F5B3DA17-010C-1F4D-B487-3CC4785C62E6}" name="AFLEET Fuels List"/>
    <tableColumn id="28" xr3:uid="{F26C8F31-4613-F149-A32C-FBE416D1609A}" name="Default Percent of Fuel Use" dataCellStyle="Percent"/>
    <tableColumn id="2" xr3:uid="{A0EB27E5-0B34-D640-B734-BBF0389FA57E}" name="Maintenance Utility Vehicle" dataDxfId="36"/>
    <tableColumn id="3" xr3:uid="{A8409BB6-9725-2D42-A3BE-79AF88AED5A5}" name="Car" dataDxfId="35"/>
    <tableColumn id="4" xr3:uid="{278344CC-B05B-3D40-8B43-022548E90798}" name="Taxi Car" dataDxfId="34"/>
    <tableColumn id="5" xr3:uid="{6B7B6640-E179-6F4C-A95F-3FA03FE4BF55}" name="Police Car" dataDxfId="33"/>
    <tableColumn id="6" xr3:uid="{ED8B31C6-1D82-F341-B7FF-B211A59E1A07}" name="SUV" dataDxfId="32"/>
    <tableColumn id="7" xr3:uid="{EB58E596-4F23-2D4A-8323-CB34BC5B8A7A}" name="Taxi SUV" dataDxfId="31"/>
    <tableColumn id="8" xr3:uid="{AFF46151-8079-0E47-8DB1-05910EEBA15E}" name="Police SUV" dataDxfId="30"/>
    <tableColumn id="9" xr3:uid="{E7AB5B32-FAFD-AE4B-A140-DDDC3FDE9A28}" name="Light-Duty Pickup Truck" dataDxfId="29"/>
    <tableColumn id="10" xr3:uid="{4BBAAE89-3945-E242-9C53-13D4FF49E6CC}" name="Shuttle/Paratransit Van" dataDxfId="28"/>
    <tableColumn id="11" xr3:uid="{D5884664-989C-324F-8C9F-8B9B2CC1E33C}" name="Medium-Duty Pickup Truck" dataDxfId="27"/>
    <tableColumn id="12" xr3:uid="{ECDBD4F1-E826-9745-B557-A53715EEB657}" name="Utility Cargo Van" dataDxfId="26"/>
    <tableColumn id="13" xr3:uid="{32245ACE-8F6D-5649-B3AD-8F611D75AE9C}" name="Shuttle/Paratransit Bus" dataDxfId="25"/>
    <tableColumn id="14" xr3:uid="{0B7C433A-F850-0A40-A5A5-6D129AED0630}" name="Bucket/Aerial Truck" dataDxfId="24"/>
    <tableColumn id="15" xr3:uid="{B27A5C11-2A50-E14A-A146-CC6514FD9157}" name="Ambulance" dataDxfId="23"/>
    <tableColumn id="16" xr3:uid="{23E58A1A-9E3A-0947-A017-4243AC769BC5}" name="Tow Truck" dataDxfId="22"/>
    <tableColumn id="17" xr3:uid="{EE301B50-C88F-DF46-A136-9035A966BFC2}" name="Long Haul Freight Truck" dataDxfId="21"/>
    <tableColumn id="18" xr3:uid="{1BDF1B2A-1784-DF44-93CB-CA8B8FB6786D}" name="School Bus" dataDxfId="20"/>
    <tableColumn id="19" xr3:uid="{8443F408-FE2A-EE44-ADCC-8DE82CD2411D}" name="Delivery Step Van" dataDxfId="19"/>
    <tableColumn id="20" xr3:uid="{1BE76639-3E9F-B849-8DB6-1BC357658EE3}" name="Delivery Straight Truck" dataDxfId="18"/>
    <tableColumn id="21" xr3:uid="{EA987240-8AAC-684D-950E-81344F7630E1}" name="Dump Truck" dataDxfId="17"/>
    <tableColumn id="22" xr3:uid="{8C6CD078-F910-914D-9FE2-B3136C4C33B8}" name="Regional Haul Freight Truck" dataDxfId="16"/>
    <tableColumn id="23" xr3:uid="{8FEE026B-F007-DE42-A85B-07256554D3A4}" name="Transit Bus" dataDxfId="15"/>
    <tableColumn id="24" xr3:uid="{D5D3D6A2-0FFB-544A-9796-53F67713DC9D}" name="Fire Truck" dataDxfId="14"/>
    <tableColumn id="25" xr3:uid="{4A042DA3-443A-2141-909F-E582582A7496}" name="Snow Plow/Sander" dataDxfId="13"/>
    <tableColumn id="26" xr3:uid="{87EBE980-5BF9-6646-813F-3B6D1AB18B63}" name="Refuse Truck" dataDxfId="12"/>
    <tableColumn id="27" xr3:uid="{A060B888-17BF-2A4A-858E-1B71C831CBC0}" name="Street Sweeper" dataDxfId="1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2000000}" name="tbl_ReplacewAlt_user16" displayName="tbl_ReplacewAlt_user16" ref="B14:M21" totalsRowShown="0" headerRowDxfId="152" tableBorderDxfId="151">
  <autoFilter ref="B14:M21" xr:uid="{00000000-0009-0000-0100-00000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0200-000001000000}" name="*Make and Model of Alternative Fuel Vehicle" dataDxfId="150"/>
    <tableColumn id="2" xr3:uid="{00000000-0010-0000-0200-000002000000}" name="*Conventional vehicle category closest in size and weight to the new/existing AFV (select from list)" dataDxfId="149"/>
    <tableColumn id="12" xr3:uid="{00000000-0010-0000-0200-00000C000000}" name="Fuel Economy of conventional vehicles in the category selected (miles/GGE)" dataDxfId="148">
      <calculatedColumnFormula>IFERROR(INDEX(TBL_AFLEET_GGE[],MATCH(tbl_ReplacewAlt_user16[[#This Row],[*Conventional vehicle category closest in size and weight to the new/existing AFV (select from list)]],TBL_AFLEET_GGE[Vocation],0),MATCH("Gasoline",TBL_AFLEET_GGE[#Headers],0)),0)</calculatedColumnFormula>
    </tableColumn>
    <tableColumn id="4" xr3:uid="{00000000-0010-0000-0200-000004000000}" name="*Number of Alternative Fuel Vehicles" dataDxfId="147"/>
    <tableColumn id="5" xr3:uid="{00000000-0010-0000-0200-000005000000}" name="*Average VMT of Vehicles (miles/year/ vehicle)" dataDxfId="146"/>
    <tableColumn id="6" xr3:uid="{00000000-0010-0000-0200-000006000000}" name="*Fuel Type for AFV" dataDxfId="145"/>
    <tableColumn id="9" xr3:uid="{00000000-0010-0000-0200-000009000000}" name="*Percent of total fuel use that is alternative fuel" dataDxfId="144" dataCellStyle="Percent"/>
    <tableColumn id="11" xr3:uid="{00000000-0010-0000-0200-00000B000000}" name="*Fuel Economy of AFV (miles/GGE)" dataDxfId="143"/>
    <tableColumn id="13" xr3:uid="{00000000-0010-0000-0200-00000D000000}" name="Alternative Fuel Use (GGE)" dataDxfId="142" dataCellStyle="Comma">
      <calculatedColumnFormula>IF(tbl_ReplacewAlt_user16[[#This Row],[*Fuel Economy of AFV (miles/GGE)]]="","",IF(tbl_ReplacewAlt_user16[[#This Row],[*Fuel Type for AFV]]="Plug-in Hybrid",tbl_ReplacewAlt_user16[[#This Row],[*Number of Alternative Fuel Vehicles]]*tbl_ReplacewAlt_user16[[#This Row],[*Average VMT of Vehicles (miles/year/ vehicle)]]*tbl_ReplacewAlt_user16[[#This Row],[*Percent of total fuel use that is alternative fuel]]/79.6,tbl_ReplacewAlt_user16[[#This Row],[*Number of Alternative Fuel Vehicles]]*tbl_ReplacewAlt_user16[[#This Row],[*Average VMT of Vehicles (miles/year/ vehicle)]]*tbl_ReplacewAlt_user16[[#This Row],[*Percent of total fuel use that is alternative fuel]]/tbl_ReplacewAlt_user16[[#This Row],[*Fuel Economy of AFV (miles/GGE)]]))</calculatedColumnFormula>
    </tableColumn>
    <tableColumn id="14" xr3:uid="{00000000-0010-0000-0200-00000E000000}" name="Conventional Fuel Use (GGE)" dataDxfId="141" dataCellStyle="Comma">
      <calculatedColumnFormula>IF(tbl_ReplacewAlt_user16[[#This Row],[*Fuel Economy of AFV (miles/GGE)]]="",0,tbl_ReplacewAlt_user16[[#This Row],[*Number of Alternative Fuel Vehicles]]*tbl_ReplacewAlt_user16[[#This Row],[*Average VMT of Vehicles (miles/year/ vehicle)]]*(1-tbl_ReplacewAlt_user16[[#This Row],[*Percent of total fuel use that is alternative fuel]])/tbl_ReplacewAlt_user16[[#This Row],[*Fuel Economy of AFV (miles/GGE)]])</calculatedColumnFormula>
    </tableColumn>
    <tableColumn id="10" xr3:uid="{00000000-0010-0000-0200-00000A000000}" name="Petroleum Used in Typical Conventional Vehicle of this Size" dataDxfId="140" dataCellStyle="Comma">
      <calculatedColumnFormula>IF(tbl_ReplacewAlt_user16[[#This Row],[Fuel Economy of conventional vehicles in the category selected (miles/GGE)]]=0,0,tbl_ReplacewAlt_user16[[#This Row],[*Number of Alternative Fuel Vehicles]]*tbl_ReplacewAlt_user16[[#This Row],[*Average VMT of Vehicles (miles/year/ vehicle)]]/tbl_ReplacewAlt_user16[[#This Row],[Fuel Economy of conventional vehicles in the category selected (miles/GGE)]])</calculatedColumnFormula>
    </tableColumn>
    <tableColumn id="8" xr3:uid="{00000000-0010-0000-0200-000008000000}" name="Maximum Credit (GGE)_x000a_[Maximum of column K or column M - column L]" dataDxfId="139" dataCellStyle="Comma">
      <calculatedColumnFormula>IF(OR(ISBLANK(tbl_ReplacewAlt_user16[[#This Row],[*Make and Model of Alternative Fuel Vehicle]]),ISBLANK(tbl_ReplacewAlt_user16[[#This Row],[*Conventional vehicle category closest in size and weight to the new/existing AFV (select from list)]])),0,MAX(tbl_ReplacewAlt_user16[[#This Row],[Alternative Fuel Use (GGE)]],tbl_ReplacewAlt_user16[[#This Row],[Petroleum Used in Typical Conventional Vehicle of this Size]]-tbl_ReplacewAlt_user16[[#This Row],[Conventional Fuel Use (GGE)]]))</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bl_biodiesel_veh" displayName="tbl_biodiesel_veh" ref="B15:G35" totalsRowShown="0" headerRowDxfId="138" dataDxfId="137" tableBorderDxfId="136">
  <autoFilter ref="B15:G35" xr:uid="{00000000-0009-0000-0100-000001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300-000001000000}" name="Vehicle" dataDxfId="135"/>
    <tableColumn id="2" xr3:uid="{00000000-0010-0000-0300-000002000000}" name="Make &amp; Model/description" dataDxfId="134"/>
    <tableColumn id="3" xr3:uid="{00000000-0010-0000-0300-000003000000}" name="Percent B100 in Biodiesel Blend" dataDxfId="133" dataCellStyle="Percent"/>
    <tableColumn id="4" xr3:uid="{00000000-0010-0000-0300-000004000000}" name="Transaction Date" dataDxfId="132" dataCellStyle="Output"/>
    <tableColumn id="5" xr3:uid="{00000000-0010-0000-0300-000005000000}" name="Fuel Amount (gallons)" dataDxfId="131" dataCellStyle="Comma"/>
    <tableColumn id="7" xr3:uid="{00000000-0010-0000-0300-000007000000}" name="GGE" dataDxfId="130">
      <calculatedColumnFormula>IF(tbl_biodiesel_veh[[#This Row],[Fuel Amount (gallons)]]="","",tbl_biodiesel_veh[[#This Row],[Percent B100 in Biodiesel Blend]]*tbl_biodiesel_veh[[#This Row],[Fuel Amount (gallons)]]*Biodiesel_CF)</calculatedColumnFormula>
    </tableColumn>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bl_biodiesel_tank" displayName="tbl_biodiesel_tank" ref="B56:F68" totalsRowShown="0" headerRowBorderDxfId="129" tableBorderDxfId="128">
  <autoFilter ref="B56:F68" xr:uid="{00000000-0009-0000-0100-000002000000}">
    <filterColumn colId="0" hiddenButton="1"/>
    <filterColumn colId="1" hiddenButton="1"/>
    <filterColumn colId="2" hiddenButton="1"/>
    <filterColumn colId="3" hiddenButton="1"/>
    <filterColumn colId="4" hiddenButton="1"/>
  </autoFilter>
  <tableColumns count="5">
    <tableColumn id="1" xr3:uid="{00000000-0010-0000-0400-000001000000}" name="Tank or dispenser" dataDxfId="127"/>
    <tableColumn id="2" xr3:uid="{00000000-0010-0000-0400-000002000000}" name="Percent B100 in Biodiesel Blend" dataDxfId="126" dataCellStyle="Percent"/>
    <tableColumn id="3" xr3:uid="{00000000-0010-0000-0400-000003000000}" name="Fuel Additions Date" dataDxfId="125" dataCellStyle="Output"/>
    <tableColumn id="4" xr3:uid="{00000000-0010-0000-0400-000004000000}" name="Fuel Additions Amount (gallons)" dataDxfId="124" dataCellStyle="Output"/>
    <tableColumn id="6" xr3:uid="{00000000-0010-0000-0400-000006000000}" name="GGE" dataDxfId="123" dataCellStyle="Comma">
      <calculatedColumnFormula>IF(tbl_biodiesel_tank[[#This Row],[Fuel Additions Amount (gallons)]]="","",tbl_biodiesel_tank[[#This Row],[Percent B100 in Biodiesel Blend]]*tbl_biodiesel_tank[[#This Row],[Fuel Additions Amount (gallons)]]*Biodiesel_CF)</calculatedColumnFormula>
    </tableColumn>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5000000}" name="tbl_VMTred" displayName="tbl_VMTred" ref="B12:K18" totalsRowShown="0" headerRowDxfId="122" tableBorderDxfId="121">
  <autoFilter ref="B12:K18" xr:uid="{00000000-0009-0000-0100-00000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500-000001000000}" name="*Make and Model of Vehicle" dataDxfId="120"/>
    <tableColumn id="2" xr3:uid="{00000000-0010-0000-0500-000002000000}" name="*Number of Vehicles" dataDxfId="119"/>
    <tableColumn id="3" xr3:uid="{00000000-0010-0000-0500-000003000000}" name="*Average Previous VMT of Vehicles (miles/year/vehicle)" dataDxfId="118" dataCellStyle="Comma"/>
    <tableColumn id="4" xr3:uid="{00000000-0010-0000-0500-000004000000}" name="*Average New VMT of Vehicles (miles/year/vehicle)" dataDxfId="0" dataCellStyle="Comma">
      <calculatedColumnFormula>tbl_VMTred[[#This Row],[*Average Previous VMT of Vehicles (miles/year/vehicle)]]-30*50*tbl_VMTred[[#This Row],[*Number of Vehicles]]</calculatedColumnFormula>
    </tableColumn>
    <tableColumn id="5" xr3:uid="{00000000-0010-0000-0500-000005000000}" name="*Fuel Used in Vehicle" dataDxfId="117"/>
    <tableColumn id="6" xr3:uid="{00000000-0010-0000-0500-000006000000}" name="*Fuel Economy of Vehicle (miles/fuel unit)" dataDxfId="116"/>
    <tableColumn id="7" xr3:uid="{00000000-0010-0000-0500-000007000000}" name="Fuel Units" dataDxfId="115">
      <calculatedColumnFormula>IF(G13="","",VLOOKUP(F13,Tbl_Fuel_Conversions,2,FALSE))</calculatedColumnFormula>
    </tableColumn>
    <tableColumn id="8" xr3:uid="{00000000-0010-0000-0500-000008000000}" name="GGE Conversion Factor" dataDxfId="114">
      <calculatedColumnFormula>IF(G13="","",VLOOKUP(F13,Tbl_Fuel_Conversions,3,FALSE))</calculatedColumnFormula>
    </tableColumn>
    <tableColumn id="9" xr3:uid="{00000000-0010-0000-0500-000009000000}" name="Fuel Economy of Vehicle (miles/GGE)" dataDxfId="113">
      <calculatedColumnFormula>IF(G13="","",G13/I13)</calculatedColumnFormula>
    </tableColumn>
    <tableColumn id="10" xr3:uid="{00000000-0010-0000-0500-00000A000000}" name="GGE of Petroleum Reduction (GGE/year)" dataDxfId="112">
      <calculatedColumnFormula>IF(C13="","",C13*(D13-E13)/J13)</calculatedColumnFormula>
    </tableColumn>
  </tableColumns>
  <tableStyleInfo name="TableStyleLight1"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bl_IdleRed_Input" displayName="tbl_IdleRed_Input" ref="B33:L38" totalsRowShown="0" headerRowDxfId="111" dataDxfId="110" tableBorderDxfId="109">
  <autoFilter ref="B33:L38"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600-000001000000}" name="*Make and Model of Vehicles with Reduced Idling" dataDxfId="108"/>
    <tableColumn id="2" xr3:uid="{00000000-0010-0000-0600-000002000000}" name="*Select Closest Vehicle Type" dataDxfId="107"/>
    <tableColumn id="3" xr3:uid="{00000000-0010-0000-0600-000003000000}" name="*Number of Vehicles" dataDxfId="106"/>
    <tableColumn id="4" xr3:uid="{00000000-0010-0000-0600-000004000000}" name="*Average Previous Idling Time of Vehicles (hours/day)" dataDxfId="105"/>
    <tableColumn id="5" xr3:uid="{00000000-0010-0000-0600-000005000000}" name="*Average New Idling Time of Vehicles (hours/day)" dataDxfId="104"/>
    <tableColumn id="6" xr3:uid="{00000000-0010-0000-0600-000006000000}" name="*Fuel Used in Vehicle" dataDxfId="103"/>
    <tableColumn id="7" xr3:uid="{00000000-0010-0000-0600-000007000000}" name="*Select with or without Load" dataDxfId="102"/>
    <tableColumn id="8" xr3:uid="{00000000-0010-0000-0600-000008000000}" name="*Idling Fuel Use (gal/h)" dataDxfId="101"/>
    <tableColumn id="9" xr3:uid="{00000000-0010-0000-0600-000009000000}" name="*Work Days per Year" dataDxfId="100"/>
    <tableColumn id="11" xr3:uid="{00000000-0010-0000-0600-00000B000000}" name="GGE Conversion Factor" dataDxfId="99">
      <calculatedColumnFormula>IF(tbl_IdleRed_Input[[#This Row],[*Fuel Used in Vehicle]]="","",VLOOKUP(tbl_IdleRed_Input[[#This Row],[*Fuel Used in Vehicle]],Tbl_Fuel_Conversions,3,FALSE))</calculatedColumnFormula>
    </tableColumn>
    <tableColumn id="12" xr3:uid="{00000000-0010-0000-0600-00000C000000}" name="GGE of Petroleum Reduction (GGE/year)" dataDxfId="98">
      <calculatedColumnFormula>IF(tbl_IdleRed_Input[[#This Row],[*Number of Vehicles]]="","",(tbl_IdleRed_Input[[#This Row],[*Average Previous Idling Time of Vehicles (hours/day)]]-tbl_IdleRed_Input[[#This Row],[*Average New Idling Time of Vehicles (hours/day)]])*tbl_IdleRed_Input[[#This Row],[*Work Days per Year]]*tbl_IdleRed_Input[[#This Row],[*Idling Fuel Use (gal/h)]]*tbl_IdleRed_Input[[#This Row],[GGE Conversion Factor]]*tbl_IdleRed_Input[[#This Row],[*Number of Vehicles]])</calculatedColumnFormula>
    </tableColumn>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bl_TrkStop_Electrification" displayName="tbl_TrkStop_Electrification" ref="B52:G53" totalsRowShown="0" headerRowDxfId="97" dataDxfId="95" headerRowBorderDxfId="96" tableBorderDxfId="94" totalsRowBorderDxfId="93">
  <autoFilter ref="B52:G53" xr:uid="{00000000-0009-0000-0100-00000A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700-000001000000}" name="*Truck Stop Number of Bays" dataDxfId="92"/>
    <tableColumn id="2" xr3:uid="{00000000-0010-0000-0700-000002000000}" name="*Hours/year Each Bay is used" dataDxfId="91"/>
    <tableColumn id="3" xr3:uid="{00000000-0010-0000-0700-000003000000}" name="*Truck Fuel Type" dataDxfId="90"/>
    <tableColumn id="4" xr3:uid="{00000000-0010-0000-0700-000004000000}" name="*Idle Fuel Use (gal/h/vehicle)" dataDxfId="89"/>
    <tableColumn id="5" xr3:uid="{00000000-0010-0000-0700-000005000000}" name="GGE Conversion Factor" dataDxfId="88">
      <calculatedColumnFormula>IF(tbl_TrkStop_Electrification[*Truck Fuel Type]="","",VLOOKUP(tbl_TrkStop_Electrification[*Truck Fuel Type],Tbl_Fuel_Conversions,3,FALSE))</calculatedColumnFormula>
    </tableColumn>
    <tableColumn id="6" xr3:uid="{00000000-0010-0000-0700-000006000000}" name="Petroleum Reduction (GGE/year)" dataDxfId="87" dataCellStyle="Comma">
      <calculatedColumnFormula>IF(tbl_TrkStop_Electrification[*Truck Stop Number of Bays]="","",tbl_TrkStop_Electrification[*Truck Stop Number of Bays]*tbl_TrkStop_Electrification[*Hours/year Each Bay is used]*tbl_TrkStop_Electrification[*Idle Fuel Use (gal/h/vehicle)]*tbl_TrkStop_Electrification[GGE Conversion Factor])</calculatedColumnFormula>
    </tableColumn>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4D3B2B2B-FAB4-DC43-99AC-4621B3339796}" name="tbl_OnboardIdle_red" displayName="tbl_OnboardIdle_red" ref="B17:H20" totalsRowShown="0" headerRowDxfId="86" headerRowBorderDxfId="85" tableBorderDxfId="84" totalsRowBorderDxfId="83">
  <autoFilter ref="B17:H20" xr:uid="{4D3B2B2B-FAB4-DC43-99AC-4621B333979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210AFD0-CA30-2245-AE68-C94CA3B3ACD8}" name="Vehicle Description" dataDxfId="82"/>
    <tableColumn id="2" xr3:uid="{9C9BC9B7-1E61-0542-B05B-FC7D4517F5E4}" name="Vehicle Weight Class" dataDxfId="81"/>
    <tableColumn id="3" xr3:uid="{355EEA97-6724-4A4C-A517-12AAFD604469}" name="Type of Idle Reduction Equipment" dataDxfId="80"/>
    <tableColumn id="4" xr3:uid="{B261D13A-0999-194B-8FEF-8D28B57905A5}" name="APU Fuel Type" dataDxfId="79"/>
    <tableColumn id="5" xr3:uid="{60F0C186-F8EF-5444-8DCC-C654E90D5508}" name="Number of vehicles" dataDxfId="78"/>
    <tableColumn id="6" xr3:uid="{F5881485-6B8A-3249-80F8-7D5A0AD104AA}" name="hours / year PTO use" dataDxfId="77"/>
    <tableColumn id="7" xr3:uid="{69AC862B-95FD-F94F-A113-4BE9E85E6891}" name="Petroleum Reduction (GGE/year)" dataDxfId="76">
      <calculatedColumnFormula>IFERROR(tbl_OnboardIdle_red[[#This Row],[Number of vehicles]]*tbl_OnboardIdle_red[[#This Row],[hours / year PTO use]]*INDEX(TBL_APU_GGE_Savings[],MATCH(tbl_OnboardIdle_red[[#This Row],[Type of Idle Reduction Equipment]],TBL_APU_GGE_Savings[Onboard IR Type],0),MATCH(tbl_OnboardIdle_red[[#This Row],[APU Fuel Type]],TBL_APU_GGE_Savings[#Headers],0)),0)</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trlProp" Target="../ctrlProps/ctrlProp1.xml"/><Relationship Id="rId7"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5.xml"/><Relationship Id="rId2" Type="http://schemas.openxmlformats.org/officeDocument/2006/relationships/vmlDrawing" Target="../drawings/vmlDrawing2.vml"/><Relationship Id="rId1" Type="http://schemas.openxmlformats.org/officeDocument/2006/relationships/drawing" Target="../drawings/drawing2.xml"/><Relationship Id="rId5" Type="http://schemas.openxmlformats.org/officeDocument/2006/relationships/table" Target="../tables/table5.xml"/><Relationship Id="rId4"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8" Type="http://schemas.openxmlformats.org/officeDocument/2006/relationships/table" Target="../tables/table14.xml"/><Relationship Id="rId13" Type="http://schemas.openxmlformats.org/officeDocument/2006/relationships/table" Target="../tables/table19.xml"/><Relationship Id="rId3" Type="http://schemas.openxmlformats.org/officeDocument/2006/relationships/drawing" Target="../drawings/drawing3.xml"/><Relationship Id="rId7" Type="http://schemas.openxmlformats.org/officeDocument/2006/relationships/table" Target="../tables/table13.xml"/><Relationship Id="rId12" Type="http://schemas.openxmlformats.org/officeDocument/2006/relationships/table" Target="../tables/table18.xml"/><Relationship Id="rId2" Type="http://schemas.openxmlformats.org/officeDocument/2006/relationships/printerSettings" Target="../printerSettings/printerSettings1.bin"/><Relationship Id="rId1" Type="http://schemas.openxmlformats.org/officeDocument/2006/relationships/hyperlink" Target="https://greet.es.anl.gov/index.php?content=registration&amp;from=afleet" TargetMode="External"/><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5" Type="http://schemas.openxmlformats.org/officeDocument/2006/relationships/table" Target="../tables/table2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 Id="rId14" Type="http://schemas.openxmlformats.org/officeDocument/2006/relationships/table" Target="../tables/table2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M77"/>
  <sheetViews>
    <sheetView showGridLines="0" tabSelected="1" workbookViewId="0">
      <selection activeCell="B4" sqref="B4"/>
    </sheetView>
  </sheetViews>
  <sheetFormatPr baseColWidth="10" defaultColWidth="8.83203125" defaultRowHeight="16"/>
  <cols>
    <col min="1" max="1" width="8.83203125" style="1"/>
    <col min="2" max="2" width="10.33203125" style="1" customWidth="1"/>
    <col min="3" max="3" width="25.83203125" style="1" customWidth="1"/>
    <col min="4" max="5" width="17.6640625" style="1" customWidth="1"/>
    <col min="6" max="7" width="8.83203125" style="1"/>
    <col min="8" max="8" width="15.5" style="1" customWidth="1"/>
    <col min="9" max="10" width="16" style="1" customWidth="1"/>
    <col min="11" max="16384" width="8.83203125" style="1"/>
  </cols>
  <sheetData>
    <row r="3" spans="2:13" ht="24">
      <c r="B3" s="340" t="s">
        <v>313</v>
      </c>
      <c r="C3" s="340"/>
      <c r="D3" s="340"/>
      <c r="E3" s="340"/>
      <c r="F3" s="340"/>
      <c r="G3" s="340"/>
      <c r="H3" s="340"/>
      <c r="I3" s="340"/>
      <c r="J3" s="340"/>
      <c r="K3" s="340"/>
      <c r="L3" s="340"/>
      <c r="M3" s="340"/>
    </row>
    <row r="5" spans="2:13" ht="17" thickBot="1"/>
    <row r="6" spans="2:13">
      <c r="B6" s="369" t="s">
        <v>283</v>
      </c>
      <c r="C6" s="370"/>
      <c r="D6" s="370"/>
      <c r="E6" s="371"/>
    </row>
    <row r="7" spans="2:13">
      <c r="B7" s="135"/>
      <c r="C7" s="327" t="s">
        <v>216</v>
      </c>
      <c r="D7" s="327"/>
      <c r="E7" s="328"/>
    </row>
    <row r="8" spans="2:13" ht="17.25" customHeight="1">
      <c r="B8" s="214"/>
      <c r="C8" s="327" t="s">
        <v>291</v>
      </c>
      <c r="D8" s="327"/>
      <c r="E8" s="328"/>
    </row>
    <row r="9" spans="2:13" ht="20">
      <c r="B9" s="136" t="s">
        <v>178</v>
      </c>
      <c r="C9" s="354" t="s">
        <v>282</v>
      </c>
      <c r="D9" s="354"/>
      <c r="E9" s="383"/>
    </row>
    <row r="10" spans="2:13" ht="17" customHeight="1">
      <c r="B10" s="137"/>
      <c r="C10" s="384" t="s">
        <v>215</v>
      </c>
      <c r="D10" s="384"/>
      <c r="E10" s="385"/>
    </row>
    <row r="11" spans="2:13">
      <c r="B11" s="138"/>
      <c r="C11" s="341" t="s">
        <v>284</v>
      </c>
      <c r="D11" s="341"/>
      <c r="E11" s="386"/>
    </row>
    <row r="12" spans="2:13" ht="16" customHeight="1" thickBot="1">
      <c r="B12" s="139"/>
      <c r="C12" s="387" t="s">
        <v>285</v>
      </c>
      <c r="D12" s="387"/>
      <c r="E12" s="388"/>
    </row>
    <row r="14" spans="2:13">
      <c r="B14" s="341" t="s">
        <v>372</v>
      </c>
      <c r="C14" s="341"/>
      <c r="D14" s="341"/>
      <c r="E14" s="341"/>
      <c r="F14" s="341"/>
      <c r="G14" s="341"/>
      <c r="H14" s="341"/>
      <c r="I14" s="341"/>
      <c r="J14" s="341"/>
      <c r="K14" s="341"/>
      <c r="L14" s="341"/>
      <c r="M14" s="341"/>
    </row>
    <row r="15" spans="2:13">
      <c r="B15" s="341"/>
      <c r="C15" s="341"/>
      <c r="D15" s="341"/>
      <c r="E15" s="341"/>
      <c r="F15" s="341"/>
      <c r="G15" s="341"/>
      <c r="H15" s="341"/>
      <c r="I15" s="341"/>
      <c r="J15" s="341"/>
      <c r="K15" s="341"/>
      <c r="L15" s="341"/>
      <c r="M15" s="341"/>
    </row>
    <row r="16" spans="2:13">
      <c r="B16" s="341"/>
      <c r="C16" s="341"/>
      <c r="D16" s="341"/>
      <c r="E16" s="341"/>
      <c r="F16" s="341"/>
      <c r="G16" s="341"/>
      <c r="H16" s="341"/>
      <c r="I16" s="341"/>
      <c r="J16" s="341"/>
      <c r="K16" s="341"/>
      <c r="L16" s="341"/>
      <c r="M16" s="341"/>
    </row>
    <row r="17" spans="2:13">
      <c r="B17" s="341"/>
      <c r="C17" s="341"/>
      <c r="D17" s="341"/>
      <c r="E17" s="341"/>
      <c r="F17" s="341"/>
      <c r="G17" s="341"/>
      <c r="H17" s="341"/>
      <c r="I17" s="341"/>
      <c r="J17" s="341"/>
      <c r="K17" s="341"/>
      <c r="L17" s="341"/>
      <c r="M17" s="341"/>
    </row>
    <row r="22" spans="2:13" ht="20" thickBot="1">
      <c r="B22" s="31" t="s">
        <v>181</v>
      </c>
      <c r="C22" s="30"/>
      <c r="D22" s="30"/>
      <c r="E22" s="30"/>
      <c r="G22" s="31" t="s">
        <v>182</v>
      </c>
      <c r="H22" s="30"/>
      <c r="I22" s="30"/>
    </row>
    <row r="23" spans="2:13" ht="17" customHeight="1">
      <c r="B23" s="325" t="s">
        <v>183</v>
      </c>
      <c r="C23" s="326"/>
      <c r="D23" s="351"/>
      <c r="E23" s="353"/>
      <c r="G23" s="325" t="s">
        <v>184</v>
      </c>
      <c r="H23" s="325"/>
      <c r="I23" s="325"/>
      <c r="J23" s="351"/>
      <c r="K23" s="352"/>
      <c r="L23" s="352"/>
      <c r="M23" s="353"/>
    </row>
    <row r="24" spans="2:13" ht="17" customHeight="1">
      <c r="B24" s="325" t="s">
        <v>185</v>
      </c>
      <c r="C24" s="326"/>
      <c r="D24" s="331"/>
      <c r="E24" s="332"/>
      <c r="G24" s="325" t="s">
        <v>186</v>
      </c>
      <c r="H24" s="325"/>
      <c r="I24" s="325"/>
      <c r="J24" s="331"/>
      <c r="K24" s="344"/>
      <c r="L24" s="344"/>
      <c r="M24" s="332"/>
    </row>
    <row r="25" spans="2:13" ht="29" customHeight="1">
      <c r="B25" s="329" t="s">
        <v>187</v>
      </c>
      <c r="C25" s="330"/>
      <c r="D25" s="331"/>
      <c r="E25" s="332"/>
      <c r="G25" s="374" t="s">
        <v>188</v>
      </c>
      <c r="H25" s="374"/>
      <c r="I25" s="374"/>
      <c r="J25" s="331"/>
      <c r="K25" s="344"/>
      <c r="L25" s="344"/>
      <c r="M25" s="332"/>
    </row>
    <row r="26" spans="2:13" ht="17" customHeight="1">
      <c r="B26" s="329" t="s">
        <v>189</v>
      </c>
      <c r="C26" s="330"/>
      <c r="D26" s="331"/>
      <c r="E26" s="332"/>
      <c r="G26" s="374"/>
      <c r="H26" s="374"/>
      <c r="I26" s="374"/>
      <c r="J26" s="331"/>
      <c r="K26" s="344"/>
      <c r="L26" s="344"/>
      <c r="M26" s="332"/>
    </row>
    <row r="27" spans="2:13" ht="17" customHeight="1">
      <c r="B27" s="325" t="s">
        <v>190</v>
      </c>
      <c r="C27" s="326"/>
      <c r="D27" s="372"/>
      <c r="E27" s="373"/>
      <c r="G27" s="325"/>
      <c r="H27" s="325"/>
      <c r="I27" s="325"/>
      <c r="J27" s="331"/>
      <c r="K27" s="344"/>
      <c r="L27" s="344"/>
      <c r="M27" s="332"/>
    </row>
    <row r="28" spans="2:13" ht="17" customHeight="1">
      <c r="B28" s="325" t="s">
        <v>191</v>
      </c>
      <c r="C28" s="326"/>
      <c r="D28" s="331"/>
      <c r="E28" s="332"/>
      <c r="G28" s="325" t="s">
        <v>192</v>
      </c>
      <c r="H28" s="325"/>
      <c r="I28" s="325"/>
      <c r="J28" s="331"/>
      <c r="K28" s="344"/>
      <c r="L28" s="344"/>
      <c r="M28" s="332"/>
    </row>
    <row r="29" spans="2:13" ht="17" customHeight="1">
      <c r="B29" s="329"/>
      <c r="C29" s="330"/>
      <c r="D29" s="331"/>
      <c r="E29" s="332"/>
      <c r="G29" s="325" t="s">
        <v>193</v>
      </c>
      <c r="H29" s="325"/>
      <c r="I29" s="325"/>
      <c r="J29" s="331"/>
      <c r="K29" s="344"/>
      <c r="L29" s="344"/>
      <c r="M29" s="332"/>
    </row>
    <row r="30" spans="2:13" ht="17" customHeight="1">
      <c r="B30" s="329"/>
      <c r="C30" s="330"/>
      <c r="D30" s="331"/>
      <c r="E30" s="332"/>
      <c r="G30" s="325" t="s">
        <v>194</v>
      </c>
      <c r="H30" s="325"/>
      <c r="I30" s="325"/>
      <c r="J30" s="345"/>
      <c r="K30" s="346"/>
      <c r="L30" s="346"/>
      <c r="M30" s="347"/>
    </row>
    <row r="31" spans="2:13" ht="17" customHeight="1">
      <c r="B31" s="325" t="s">
        <v>195</v>
      </c>
      <c r="C31" s="326"/>
      <c r="D31" s="331"/>
      <c r="E31" s="332"/>
      <c r="G31" s="325" t="s">
        <v>196</v>
      </c>
      <c r="H31" s="325"/>
      <c r="I31" s="325"/>
      <c r="J31" s="348"/>
      <c r="K31" s="349"/>
      <c r="L31" s="349"/>
      <c r="M31" s="350"/>
    </row>
    <row r="32" spans="2:13" ht="17" customHeight="1">
      <c r="B32" s="325" t="s">
        <v>197</v>
      </c>
      <c r="C32" s="326"/>
      <c r="D32" s="331"/>
      <c r="E32" s="332"/>
      <c r="G32" s="329" t="s">
        <v>198</v>
      </c>
      <c r="H32" s="329"/>
      <c r="I32" s="329"/>
      <c r="J32" s="348"/>
      <c r="K32" s="349"/>
      <c r="L32" s="349"/>
      <c r="M32" s="350"/>
    </row>
    <row r="33" spans="2:13" ht="17" customHeight="1" thickBot="1">
      <c r="B33" s="325" t="s">
        <v>199</v>
      </c>
      <c r="C33" s="326"/>
      <c r="D33" s="333"/>
      <c r="E33" s="334"/>
      <c r="G33" s="325" t="s">
        <v>200</v>
      </c>
      <c r="H33" s="325"/>
      <c r="I33" s="325"/>
      <c r="J33" s="441"/>
      <c r="K33" s="342"/>
      <c r="L33" s="342"/>
      <c r="M33" s="343"/>
    </row>
    <row r="34" spans="2:13" ht="17" customHeight="1">
      <c r="B34" s="30" t="s">
        <v>201</v>
      </c>
      <c r="C34" s="30"/>
      <c r="D34" s="30"/>
      <c r="E34" s="30"/>
      <c r="F34" s="54"/>
      <c r="G34" s="30"/>
      <c r="H34" s="30"/>
    </row>
    <row r="35" spans="2:13">
      <c r="B35" s="30"/>
      <c r="C35" s="30"/>
      <c r="D35" s="30"/>
      <c r="E35" s="30"/>
      <c r="F35" s="54"/>
      <c r="G35" s="30"/>
      <c r="H35" s="30"/>
    </row>
    <row r="36" spans="2:13">
      <c r="B36" s="30"/>
      <c r="C36" s="48" t="s">
        <v>202</v>
      </c>
      <c r="D36" s="175">
        <v>2023</v>
      </c>
      <c r="E36" s="30"/>
      <c r="F36" s="179">
        <f>DATE(credit_year-1,9,1)</f>
        <v>44805</v>
      </c>
      <c r="G36" s="180" t="s">
        <v>203</v>
      </c>
      <c r="H36" s="181">
        <f>DATE(credit_year,8,31)</f>
        <v>45169</v>
      </c>
    </row>
    <row r="37" spans="2:13">
      <c r="B37" s="30"/>
      <c r="C37" s="30"/>
      <c r="D37" s="30"/>
      <c r="E37" s="30"/>
      <c r="F37" s="34"/>
      <c r="G37" s="30"/>
      <c r="H37" s="30"/>
    </row>
    <row r="39" spans="2:13" ht="17.25" customHeight="1" thickBot="1">
      <c r="B39" s="354"/>
      <c r="C39" s="354"/>
    </row>
    <row r="40" spans="2:13" ht="17.25" customHeight="1">
      <c r="B40" s="188" t="b">
        <v>0</v>
      </c>
      <c r="C40" s="358" t="str">
        <f>"Model Year " &amp; credit_year &amp; " Alternative Compliance Waiver Request is attached"</f>
        <v>Model Year 2023 Alternative Compliance Waiver Request is attached</v>
      </c>
      <c r="D40" s="358"/>
      <c r="E40" s="359"/>
      <c r="F40" s="55"/>
      <c r="G40" s="55"/>
      <c r="H40" s="55"/>
      <c r="I40" s="55"/>
    </row>
    <row r="41" spans="2:13" ht="17.25" customHeight="1">
      <c r="B41" s="133"/>
      <c r="C41" s="55"/>
      <c r="E41" s="134"/>
    </row>
    <row r="42" spans="2:13" ht="17.25" customHeight="1">
      <c r="B42" s="189" t="b">
        <v>0</v>
      </c>
      <c r="C42" s="355" t="s">
        <v>179</v>
      </c>
      <c r="D42" s="356"/>
      <c r="E42" s="357"/>
    </row>
    <row r="43" spans="2:13" ht="17.25" customHeight="1">
      <c r="B43" s="129"/>
      <c r="C43"/>
      <c r="D43"/>
      <c r="E43" s="94"/>
    </row>
    <row r="44" spans="2:13" ht="17.25" customHeight="1" thickBot="1">
      <c r="B44" s="190" t="b">
        <v>0</v>
      </c>
      <c r="C44" s="363" t="s">
        <v>219</v>
      </c>
      <c r="D44" s="363"/>
      <c r="E44" s="364"/>
    </row>
    <row r="45" spans="2:13" ht="17.25" customHeight="1">
      <c r="B45"/>
      <c r="C45"/>
      <c r="D45"/>
      <c r="E45"/>
    </row>
    <row r="46" spans="2:13" ht="17.25" customHeight="1">
      <c r="B46" s="55"/>
      <c r="C46" s="55"/>
    </row>
    <row r="47" spans="2:13" ht="17.25" customHeight="1" thickBot="1">
      <c r="B47" s="354" t="str">
        <f>"Enter your MY" &amp;credit_year&amp;" petroleum reduction requirement below"</f>
        <v>Enter your MY2023 petroleum reduction requirement below</v>
      </c>
      <c r="C47" s="354"/>
      <c r="D47" s="354"/>
    </row>
    <row r="48" spans="2:13" ht="17.25" customHeight="1" thickBot="1">
      <c r="B48" s="191"/>
      <c r="C48" s="361" t="s">
        <v>180</v>
      </c>
      <c r="D48" s="361"/>
      <c r="E48" s="382"/>
    </row>
    <row r="49" spans="2:10" ht="17.25" customHeight="1">
      <c r="B49"/>
      <c r="C49"/>
    </row>
    <row r="50" spans="2:10" ht="17.25" customHeight="1">
      <c r="B50"/>
      <c r="C50"/>
    </row>
    <row r="51" spans="2:10" ht="55" customHeight="1">
      <c r="B51" s="362" t="s">
        <v>221</v>
      </c>
      <c r="C51" s="362"/>
      <c r="D51" s="362"/>
      <c r="E51" s="362"/>
      <c r="F51" s="362"/>
      <c r="G51" s="362"/>
      <c r="H51" s="362"/>
      <c r="I51" s="362"/>
      <c r="J51" s="362"/>
    </row>
    <row r="53" spans="2:10" ht="17" thickBot="1"/>
    <row r="54" spans="2:10" ht="35" thickBot="1">
      <c r="B54" s="360" t="s">
        <v>158</v>
      </c>
      <c r="C54" s="361"/>
      <c r="D54" s="73" t="s">
        <v>159</v>
      </c>
      <c r="E54" s="74" t="s">
        <v>160</v>
      </c>
    </row>
    <row r="55" spans="2:10" ht="65" customHeight="1">
      <c r="B55" s="335" t="s">
        <v>301</v>
      </c>
      <c r="C55" s="336"/>
      <c r="D55" s="176"/>
      <c r="E55" s="182">
        <f>ROUND(Replace_vehicles_GGE,0)</f>
        <v>0</v>
      </c>
      <c r="G55" s="339" t="s">
        <v>306</v>
      </c>
      <c r="H55" s="339"/>
      <c r="I55" s="339"/>
      <c r="J55" s="339"/>
    </row>
    <row r="56" spans="2:10" ht="30.75" customHeight="1">
      <c r="B56" s="365" t="s">
        <v>272</v>
      </c>
      <c r="C56" s="366"/>
      <c r="D56" s="177"/>
      <c r="E56" s="183">
        <f>ROUND(Alt_Fuel_GGE,0)</f>
        <v>0</v>
      </c>
      <c r="G56" s="339" t="s">
        <v>273</v>
      </c>
      <c r="H56" s="339"/>
      <c r="I56" s="339"/>
      <c r="J56" s="114"/>
    </row>
    <row r="57" spans="2:10" ht="19" customHeight="1">
      <c r="B57" s="337" t="s">
        <v>295</v>
      </c>
      <c r="C57" s="338"/>
      <c r="D57" s="178"/>
      <c r="E57" s="184">
        <f>ROUND(Biodiesel_GGE,0)</f>
        <v>0</v>
      </c>
      <c r="G57" s="339" t="s">
        <v>210</v>
      </c>
      <c r="H57" s="339"/>
      <c r="I57" s="339"/>
      <c r="J57" s="339"/>
    </row>
    <row r="58" spans="2:10" ht="19" customHeight="1">
      <c r="B58" s="337" t="s">
        <v>62</v>
      </c>
      <c r="C58" s="338"/>
      <c r="D58" s="178"/>
      <c r="E58" s="184">
        <f>ROUND(VMT_GGE,0)</f>
        <v>0</v>
      </c>
      <c r="G58" s="339" t="s">
        <v>211</v>
      </c>
      <c r="H58" s="339"/>
      <c r="I58" s="339"/>
      <c r="J58" s="339"/>
    </row>
    <row r="59" spans="2:10" ht="19" customHeight="1">
      <c r="B59" s="337" t="s">
        <v>63</v>
      </c>
      <c r="C59" s="338"/>
      <c r="D59" s="178"/>
      <c r="E59" s="184">
        <f>ROUND(Idle_red_total,0)</f>
        <v>0</v>
      </c>
      <c r="G59" s="339" t="s">
        <v>212</v>
      </c>
      <c r="H59" s="339"/>
      <c r="I59" s="339"/>
      <c r="J59" s="339"/>
    </row>
    <row r="60" spans="2:10" ht="21" customHeight="1" thickBot="1">
      <c r="B60" s="367" t="s">
        <v>81</v>
      </c>
      <c r="C60" s="368"/>
      <c r="D60" s="186">
        <f>SUM(D55:D59)</f>
        <v>0</v>
      </c>
      <c r="E60" s="185">
        <f>SUM(E55:E59)</f>
        <v>0</v>
      </c>
    </row>
    <row r="62" spans="2:10" ht="18.75" customHeight="1">
      <c r="B62" s="354"/>
      <c r="C62" s="354"/>
      <c r="D62" s="14" t="str">
        <f>IF(Total_actual_GGE&lt;PRR, "Shortfall (GGE) = ", "Excess (GGE)")</f>
        <v>Excess (GGE)</v>
      </c>
      <c r="E62" s="187">
        <f>ABS(Total_actual_GGE-PRR)</f>
        <v>0</v>
      </c>
    </row>
    <row r="65" spans="2:9">
      <c r="B65" s="381" t="str">
        <f>IF(PRR = 0,"",IF(Total_actual_GGE-PRR&gt;0,"Based on the "&amp;ROUND(Total_actual_GGE,0)&amp;" GGE savings the fleet achieved and the "&amp;PRR&amp;" savings the fleet was required to achieve, the fleet realized an excess petroleum use reduction of "&amp;ROUND(Net_GGE,0)&amp; " GGE during MY 2021, exceeding the requirement by "&amp;ROUND(Net_GGE/PRR*100,0) &amp;" percent.","Fleet "&amp;fleet_name&amp; " did not achieve the required petroleum-use reduction for the following reasons;"))</f>
        <v/>
      </c>
      <c r="C65" s="381"/>
      <c r="D65" s="381"/>
      <c r="E65" s="381"/>
      <c r="F65" s="381"/>
      <c r="G65" s="381"/>
      <c r="H65" s="381"/>
      <c r="I65" s="381"/>
    </row>
    <row r="66" spans="2:9">
      <c r="B66" s="381"/>
      <c r="C66" s="381"/>
      <c r="D66" s="381"/>
      <c r="E66" s="381"/>
      <c r="F66" s="381"/>
      <c r="G66" s="381"/>
      <c r="H66" s="381"/>
      <c r="I66" s="381"/>
    </row>
    <row r="67" spans="2:9">
      <c r="B67" s="381"/>
      <c r="C67" s="381"/>
      <c r="D67" s="381"/>
      <c r="E67" s="381"/>
      <c r="F67" s="381"/>
      <c r="G67" s="381"/>
      <c r="H67" s="381"/>
      <c r="I67" s="381"/>
    </row>
    <row r="68" spans="2:9" ht="17" thickBot="1">
      <c r="B68" s="341"/>
      <c r="C68" s="341"/>
      <c r="D68" s="341"/>
      <c r="E68" s="341"/>
      <c r="F68" s="341"/>
      <c r="G68" s="341"/>
    </row>
    <row r="69" spans="2:9" ht="15" customHeight="1">
      <c r="B69" s="188" t="b">
        <v>0</v>
      </c>
      <c r="C69" s="375" t="str">
        <f>IF(Total_actual_GGE-PRR&gt;0,"Pursuant to 10 C.F.R. Section 490.804( c ), Fleet "&amp;fleet_name&amp;" hereby requests that DOE roll over the excess petroleum use reduction amount of "&amp;ROUND(Net_GGE,0)&amp;" GGE for potential use in future MYs in which fleet "&amp;fleet_name&amp;" participates in Alternative Compliance but fails to achieve its required petroleum-use reduction","Fleet "&amp;fleet_name&amp;" requests to apply "&amp;ROUND(Net_GGE,0)&amp;" banked GGE (rollover GGE) earned in prior years under alternative compliance if available.")</f>
        <v>Fleet  requests to apply 0 banked GGE (rollover GGE) earned in prior years under alternative compliance if available.</v>
      </c>
      <c r="D69" s="375"/>
      <c r="E69" s="375"/>
      <c r="F69" s="375"/>
      <c r="G69" s="375"/>
      <c r="H69" s="375"/>
      <c r="I69" s="376"/>
    </row>
    <row r="70" spans="2:9">
      <c r="B70" s="131"/>
      <c r="C70" s="377"/>
      <c r="D70" s="377"/>
      <c r="E70" s="377"/>
      <c r="F70" s="377"/>
      <c r="G70" s="377"/>
      <c r="H70" s="377"/>
      <c r="I70" s="378"/>
    </row>
    <row r="71" spans="2:9">
      <c r="B71" s="131"/>
      <c r="C71" s="377"/>
      <c r="D71" s="377"/>
      <c r="E71" s="377"/>
      <c r="F71" s="377"/>
      <c r="G71" s="377"/>
      <c r="H71" s="377"/>
      <c r="I71" s="378"/>
    </row>
    <row r="72" spans="2:9" ht="17" thickBot="1">
      <c r="B72" s="132"/>
      <c r="C72" s="379"/>
      <c r="D72" s="379"/>
      <c r="E72" s="379"/>
      <c r="F72" s="379"/>
      <c r="G72" s="379"/>
      <c r="H72" s="379"/>
      <c r="I72" s="380"/>
    </row>
    <row r="73" spans="2:9">
      <c r="C73" s="130"/>
      <c r="D73" s="130"/>
      <c r="E73" s="130"/>
      <c r="F73" s="130"/>
      <c r="G73" s="130"/>
    </row>
    <row r="74" spans="2:9">
      <c r="C74" s="130"/>
      <c r="D74" s="130"/>
      <c r="E74" s="130"/>
      <c r="F74" s="130"/>
      <c r="G74" s="130"/>
    </row>
    <row r="75" spans="2:9">
      <c r="C75" s="130"/>
      <c r="D75" s="130"/>
      <c r="E75" s="130"/>
      <c r="F75" s="130"/>
      <c r="G75" s="130"/>
    </row>
    <row r="76" spans="2:9">
      <c r="C76" s="130"/>
      <c r="D76" s="130"/>
      <c r="E76" s="130"/>
      <c r="F76" s="130"/>
      <c r="G76" s="130"/>
    </row>
    <row r="77" spans="2:9">
      <c r="C77" s="130"/>
      <c r="D77" s="130"/>
      <c r="E77" s="130"/>
      <c r="F77" s="130"/>
      <c r="G77" s="130"/>
    </row>
  </sheetData>
  <sheetProtection formatColumns="0" formatRows="0"/>
  <mergeCells count="76">
    <mergeCell ref="C69:I72"/>
    <mergeCell ref="B65:I67"/>
    <mergeCell ref="C48:E48"/>
    <mergeCell ref="C7:E7"/>
    <mergeCell ref="C9:E9"/>
    <mergeCell ref="C10:E10"/>
    <mergeCell ref="C11:E11"/>
    <mergeCell ref="C12:E12"/>
    <mergeCell ref="D29:E29"/>
    <mergeCell ref="D30:E30"/>
    <mergeCell ref="D31:E31"/>
    <mergeCell ref="D32:E32"/>
    <mergeCell ref="G58:J58"/>
    <mergeCell ref="G30:I30"/>
    <mergeCell ref="G31:I31"/>
    <mergeCell ref="G32:I32"/>
    <mergeCell ref="B6:E6"/>
    <mergeCell ref="D27:E27"/>
    <mergeCell ref="G23:I23"/>
    <mergeCell ref="G24:I24"/>
    <mergeCell ref="G25:I25"/>
    <mergeCell ref="G26:I26"/>
    <mergeCell ref="D23:E23"/>
    <mergeCell ref="D24:E24"/>
    <mergeCell ref="D25:E25"/>
    <mergeCell ref="D26:E26"/>
    <mergeCell ref="G27:I27"/>
    <mergeCell ref="B23:C23"/>
    <mergeCell ref="B24:C24"/>
    <mergeCell ref="B25:C25"/>
    <mergeCell ref="B26:C26"/>
    <mergeCell ref="B27:C27"/>
    <mergeCell ref="B68:G68"/>
    <mergeCell ref="B39:C39"/>
    <mergeCell ref="B62:C62"/>
    <mergeCell ref="C42:E42"/>
    <mergeCell ref="B47:D47"/>
    <mergeCell ref="C40:E40"/>
    <mergeCell ref="B54:C54"/>
    <mergeCell ref="B57:C57"/>
    <mergeCell ref="B59:C59"/>
    <mergeCell ref="B51:J51"/>
    <mergeCell ref="G59:J59"/>
    <mergeCell ref="C44:E44"/>
    <mergeCell ref="B56:C56"/>
    <mergeCell ref="B60:C60"/>
    <mergeCell ref="G55:J55"/>
    <mergeCell ref="G57:J57"/>
    <mergeCell ref="B55:C55"/>
    <mergeCell ref="B58:C58"/>
    <mergeCell ref="G56:I56"/>
    <mergeCell ref="B3:M3"/>
    <mergeCell ref="B14:M17"/>
    <mergeCell ref="J33:M33"/>
    <mergeCell ref="J28:M28"/>
    <mergeCell ref="J29:M29"/>
    <mergeCell ref="J30:M30"/>
    <mergeCell ref="J31:M31"/>
    <mergeCell ref="J32:M32"/>
    <mergeCell ref="J23:M23"/>
    <mergeCell ref="J24:M24"/>
    <mergeCell ref="J25:M25"/>
    <mergeCell ref="J26:M26"/>
    <mergeCell ref="J27:M27"/>
    <mergeCell ref="G33:I33"/>
    <mergeCell ref="G28:I28"/>
    <mergeCell ref="G29:I29"/>
    <mergeCell ref="B33:C33"/>
    <mergeCell ref="C8:E8"/>
    <mergeCell ref="B28:C28"/>
    <mergeCell ref="B29:C29"/>
    <mergeCell ref="B30:C30"/>
    <mergeCell ref="B31:C31"/>
    <mergeCell ref="B32:C32"/>
    <mergeCell ref="D28:E28"/>
    <mergeCell ref="D33:E33"/>
  </mergeCells>
  <conditionalFormatting sqref="B40 B42 B44">
    <cfRule type="cellIs" dxfId="10" priority="3" operator="equal">
      <formula>FALSE</formula>
    </cfRule>
  </conditionalFormatting>
  <conditionalFormatting sqref="B48">
    <cfRule type="expression" dxfId="9" priority="2">
      <formula>ISBLANK(B48)</formula>
    </cfRule>
  </conditionalFormatting>
  <conditionalFormatting sqref="B69">
    <cfRule type="cellIs" dxfId="8" priority="1" operator="equal">
      <formula>FALSE</formula>
    </cfRule>
  </conditionalFormatting>
  <dataValidations count="2">
    <dataValidation type="list" allowBlank="1" showInputMessage="1" showErrorMessage="1" prompt="(P) Alternative Fuel Provider (S) State Agency  (B) Biodiesel Fuel Provider" sqref="D27:E27" xr:uid="{00000000-0002-0000-0000-000000000000}">
      <formula1>"P, S, B"</formula1>
    </dataValidation>
    <dataValidation allowBlank="1" showInputMessage="1" showErrorMessage="1" prompt="Include PHEVs and AFVs on this tab" sqref="B56:C56" xr:uid="{6332E659-01B1-AB43-B0E1-9720FDB421B0}"/>
  </dataValidations>
  <hyperlinks>
    <hyperlink ref="G55" location="loc_fueleff" display="Review/Edit Combined fuel effic &amp; alt fuel sheet" xr:uid="{00000000-0004-0000-0000-000000000000}"/>
    <hyperlink ref="H55" location="loc_fueleff" display="loc_fueleff" xr:uid="{00000000-0004-0000-0000-000001000000}"/>
    <hyperlink ref="I55" location="loc_fueleff" display="loc_fueleff" xr:uid="{00000000-0004-0000-0000-000002000000}"/>
    <hyperlink ref="J55" location="loc_fueleff" display="loc_fueleff" xr:uid="{00000000-0004-0000-0000-000003000000}"/>
    <hyperlink ref="G57" location="loc_biodiesel" display="Review/Edit Biodiesel Blends sheet" xr:uid="{00000000-0004-0000-0000-000004000000}"/>
    <hyperlink ref="H57" location="loc_biodiesel" display="loc_biodiesel" xr:uid="{00000000-0004-0000-0000-000005000000}"/>
    <hyperlink ref="I57" location="loc_biodiesel" display="loc_biodiesel" xr:uid="{00000000-0004-0000-0000-000006000000}"/>
    <hyperlink ref="J57" location="loc_biodiesel" display="loc_biodiesel" xr:uid="{00000000-0004-0000-0000-000007000000}"/>
    <hyperlink ref="G58" location="loc_VMT" display="Review/Edit VMT Reduction sheet" xr:uid="{00000000-0004-0000-0000-000008000000}"/>
    <hyperlink ref="H58" location="loc_VMT" display="loc_VMT" xr:uid="{00000000-0004-0000-0000-000009000000}"/>
    <hyperlink ref="I58" location="loc_VMT" display="loc_VMT" xr:uid="{00000000-0004-0000-0000-00000A000000}"/>
    <hyperlink ref="J58" location="loc_VMT" display="loc_VMT" xr:uid="{00000000-0004-0000-0000-00000B000000}"/>
    <hyperlink ref="G59" location="loc_idle" display="Review/Edit Idle Time Reduction sheet" xr:uid="{00000000-0004-0000-0000-00000C000000}"/>
    <hyperlink ref="H59" location="loc_idle" display="loc_idle" xr:uid="{00000000-0004-0000-0000-00000D000000}"/>
    <hyperlink ref="I59" location="loc_idle" display="loc_idle" xr:uid="{00000000-0004-0000-0000-00000E000000}"/>
    <hyperlink ref="J59" location="loc_idle" display="loc_idle" xr:uid="{00000000-0004-0000-0000-00000F000000}"/>
    <hyperlink ref="G55:J55" location="loc_ReplaceVeh" display="Review/Edit Replace Conventional Vehicles sheet" xr:uid="{00000000-0004-0000-0000-000010000000}"/>
    <hyperlink ref="G56:I56" location="loc_AltFuels" display="Review/Edit Use Alternative Fuels sheet" xr:uid="{00000000-0004-0000-0000-000011000000}"/>
  </hyperlinks>
  <pageMargins left="0.7" right="0.7" top="0.75" bottom="0.75" header="0.3" footer="0.3"/>
  <pageSetup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7417" r:id="rId3" name="Check Box 9">
              <controlPr defaultSize="0" autoFill="0" autoLine="0" autoPict="0">
                <anchor moveWithCells="1">
                  <from>
                    <xdr:col>1</xdr:col>
                    <xdr:colOff>12700</xdr:colOff>
                    <xdr:row>40</xdr:row>
                    <xdr:rowOff>190500</xdr:rowOff>
                  </from>
                  <to>
                    <xdr:col>1</xdr:col>
                    <xdr:colOff>406400</xdr:colOff>
                    <xdr:row>42</xdr:row>
                    <xdr:rowOff>76200</xdr:rowOff>
                  </to>
                </anchor>
              </controlPr>
            </control>
          </mc:Choice>
        </mc:AlternateContent>
        <mc:AlternateContent xmlns:mc="http://schemas.openxmlformats.org/markup-compatibility/2006">
          <mc:Choice Requires="x14">
            <control shapeId="17419" r:id="rId4" name="Check Box 11">
              <controlPr defaultSize="0" autoFill="0" autoLine="0" autoPict="0">
                <anchor moveWithCells="1">
                  <from>
                    <xdr:col>1</xdr:col>
                    <xdr:colOff>50800</xdr:colOff>
                    <xdr:row>68</xdr:row>
                    <xdr:rowOff>0</xdr:rowOff>
                  </from>
                  <to>
                    <xdr:col>1</xdr:col>
                    <xdr:colOff>444500</xdr:colOff>
                    <xdr:row>69</xdr:row>
                    <xdr:rowOff>127000</xdr:rowOff>
                  </to>
                </anchor>
              </controlPr>
            </control>
          </mc:Choice>
        </mc:AlternateContent>
        <mc:AlternateContent xmlns:mc="http://schemas.openxmlformats.org/markup-compatibility/2006">
          <mc:Choice Requires="x14">
            <control shapeId="17421" r:id="rId5" name="Check Box 13">
              <controlPr defaultSize="0" autoFill="0" autoLine="0" autoPict="0">
                <anchor moveWithCells="1">
                  <from>
                    <xdr:col>1</xdr:col>
                    <xdr:colOff>0</xdr:colOff>
                    <xdr:row>42</xdr:row>
                    <xdr:rowOff>165100</xdr:rowOff>
                  </from>
                  <to>
                    <xdr:col>1</xdr:col>
                    <xdr:colOff>393700</xdr:colOff>
                    <xdr:row>44</xdr:row>
                    <xdr:rowOff>50800</xdr:rowOff>
                  </to>
                </anchor>
              </controlPr>
            </control>
          </mc:Choice>
        </mc:AlternateContent>
        <mc:AlternateContent xmlns:mc="http://schemas.openxmlformats.org/markup-compatibility/2006">
          <mc:Choice Requires="x14">
            <control shapeId="17413" r:id="rId6" name="Check Box 5">
              <controlPr defaultSize="0" autoFill="0" autoLine="0" autoPict="0">
                <anchor moveWithCells="1">
                  <from>
                    <xdr:col>1</xdr:col>
                    <xdr:colOff>12700</xdr:colOff>
                    <xdr:row>38</xdr:row>
                    <xdr:rowOff>190500</xdr:rowOff>
                  </from>
                  <to>
                    <xdr:col>1</xdr:col>
                    <xdr:colOff>647700</xdr:colOff>
                    <xdr:row>40</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W39"/>
  <sheetViews>
    <sheetView showGridLines="0" topLeftCell="A23" zoomScale="110" zoomScaleNormal="110" workbookViewId="0">
      <selection activeCell="G35" sqref="G35:I36"/>
    </sheetView>
  </sheetViews>
  <sheetFormatPr baseColWidth="10" defaultColWidth="10.1640625" defaultRowHeight="16"/>
  <cols>
    <col min="1" max="1" width="10.1640625" style="195"/>
    <col min="2" max="2" width="23.1640625" style="195" customWidth="1"/>
    <col min="3" max="3" width="28.83203125" style="195" customWidth="1"/>
    <col min="4" max="4" width="19.1640625" style="195" customWidth="1"/>
    <col min="5" max="5" width="12.5" style="195" customWidth="1"/>
    <col min="6" max="6" width="16.5" style="195" customWidth="1"/>
    <col min="7" max="7" width="17.83203125" style="195" customWidth="1"/>
    <col min="8" max="8" width="14.33203125" style="195" customWidth="1"/>
    <col min="9" max="9" width="18.5" style="195" customWidth="1"/>
    <col min="10" max="10" width="14.6640625" style="195" customWidth="1"/>
    <col min="11" max="11" width="20" style="195" customWidth="1"/>
    <col min="12" max="12" width="16" style="195" customWidth="1"/>
    <col min="13" max="13" width="20" style="195" customWidth="1"/>
    <col min="14" max="14" width="17.83203125" style="195" customWidth="1"/>
    <col min="15" max="15" width="15.6640625" style="195" customWidth="1"/>
    <col min="16" max="17" width="13.1640625" style="195" customWidth="1"/>
    <col min="18" max="18" width="14.1640625" style="195" customWidth="1"/>
    <col min="19" max="20" width="13.1640625" style="195" customWidth="1"/>
    <col min="21" max="21" width="13.5" style="195" customWidth="1"/>
    <col min="22" max="22" width="16.83203125" style="195" customWidth="1"/>
    <col min="23" max="16384" width="10.1640625" style="195"/>
  </cols>
  <sheetData>
    <row r="1" spans="1:22" ht="24">
      <c r="A1" s="192"/>
      <c r="B1" s="193" t="s">
        <v>298</v>
      </c>
      <c r="C1" s="194"/>
      <c r="D1" s="194"/>
      <c r="E1" s="194"/>
      <c r="F1" s="192"/>
      <c r="G1" s="192"/>
      <c r="H1" s="192"/>
      <c r="I1" s="192"/>
      <c r="J1" s="192"/>
      <c r="K1" s="192"/>
      <c r="L1" s="192"/>
      <c r="M1" s="192"/>
      <c r="N1" s="192"/>
      <c r="U1" s="192"/>
      <c r="V1" s="192"/>
    </row>
    <row r="2" spans="1:22" ht="16" customHeight="1">
      <c r="A2" s="192"/>
      <c r="B2" s="394" t="s">
        <v>319</v>
      </c>
      <c r="C2" s="394"/>
      <c r="D2" s="394"/>
      <c r="E2" s="394"/>
      <c r="F2" s="394"/>
      <c r="G2" s="394"/>
      <c r="H2" s="394"/>
      <c r="I2" s="394"/>
      <c r="J2" s="394"/>
      <c r="K2" s="196"/>
      <c r="L2" s="196"/>
      <c r="M2" s="196"/>
      <c r="N2" s="197"/>
      <c r="O2" s="197"/>
      <c r="P2" s="197"/>
      <c r="Q2" s="197"/>
      <c r="R2" s="197"/>
      <c r="S2" s="197"/>
      <c r="T2" s="197"/>
      <c r="U2" s="197"/>
      <c r="V2" s="192"/>
    </row>
    <row r="3" spans="1:22" ht="16" customHeight="1">
      <c r="A3" s="192"/>
      <c r="B3" s="394"/>
      <c r="C3" s="394"/>
      <c r="D3" s="394"/>
      <c r="E3" s="394"/>
      <c r="F3" s="394"/>
      <c r="G3" s="394"/>
      <c r="H3" s="394"/>
      <c r="I3" s="394"/>
      <c r="J3" s="394"/>
      <c r="K3" s="198"/>
      <c r="L3" s="198"/>
      <c r="M3" s="198"/>
      <c r="N3" s="198"/>
      <c r="O3" s="198"/>
      <c r="P3" s="198"/>
      <c r="Q3" s="198"/>
      <c r="R3" s="198"/>
      <c r="S3" s="198"/>
      <c r="T3" s="198"/>
      <c r="U3" s="198"/>
      <c r="V3" s="192"/>
    </row>
    <row r="4" spans="1:22" ht="16" customHeight="1">
      <c r="A4" s="192"/>
      <c r="B4" s="196"/>
      <c r="C4" s="196"/>
      <c r="D4" s="196"/>
      <c r="E4" s="196"/>
      <c r="F4" s="196"/>
      <c r="G4" s="196"/>
      <c r="H4" s="196"/>
      <c r="I4" s="196"/>
      <c r="J4" s="198"/>
      <c r="K4" s="198"/>
      <c r="L4" s="303"/>
      <c r="M4" s="198"/>
      <c r="N4" s="198"/>
      <c r="O4" s="198"/>
      <c r="P4" s="198"/>
      <c r="Q4" s="198"/>
      <c r="R4" s="198"/>
      <c r="S4" s="198"/>
      <c r="T4" s="198"/>
      <c r="U4" s="198"/>
      <c r="V4" s="192"/>
    </row>
    <row r="5" spans="1:22" ht="16" customHeight="1">
      <c r="A5" s="192"/>
      <c r="B5" s="395" t="s">
        <v>304</v>
      </c>
      <c r="C5" s="395"/>
      <c r="D5" s="395"/>
      <c r="E5" s="395"/>
      <c r="F5" s="395"/>
      <c r="G5" s="395"/>
      <c r="H5" s="395"/>
      <c r="I5" s="395"/>
      <c r="J5" s="395"/>
      <c r="K5" s="198"/>
      <c r="L5" s="198"/>
      <c r="M5" s="198"/>
      <c r="N5" s="198"/>
      <c r="O5" s="198"/>
      <c r="P5" s="198"/>
      <c r="Q5" s="198"/>
      <c r="R5" s="198"/>
      <c r="S5" s="198"/>
      <c r="T5" s="198"/>
      <c r="U5" s="198"/>
      <c r="V5" s="192"/>
    </row>
    <row r="6" spans="1:22" ht="16" customHeight="1">
      <c r="A6" s="192"/>
      <c r="B6" s="395"/>
      <c r="C6" s="395"/>
      <c r="D6" s="395"/>
      <c r="E6" s="395"/>
      <c r="F6" s="395"/>
      <c r="G6" s="395"/>
      <c r="H6" s="395"/>
      <c r="I6" s="395"/>
      <c r="J6" s="395"/>
      <c r="K6" s="198"/>
      <c r="L6" s="198"/>
      <c r="M6" s="198"/>
      <c r="N6" s="198"/>
      <c r="O6" s="198"/>
      <c r="P6" s="198"/>
      <c r="Q6" s="198"/>
      <c r="R6" s="198"/>
      <c r="S6" s="198"/>
      <c r="T6" s="198"/>
      <c r="U6" s="198"/>
      <c r="V6" s="192"/>
    </row>
    <row r="7" spans="1:22" ht="16" customHeight="1">
      <c r="A7" s="192"/>
      <c r="B7" s="395"/>
      <c r="C7" s="395"/>
      <c r="D7" s="395"/>
      <c r="E7" s="395"/>
      <c r="F7" s="395"/>
      <c r="G7" s="395"/>
      <c r="H7" s="395"/>
      <c r="I7" s="395"/>
      <c r="J7" s="395"/>
      <c r="K7" s="198"/>
      <c r="L7" s="198"/>
      <c r="M7" s="198"/>
      <c r="N7" s="198"/>
      <c r="O7" s="198"/>
      <c r="P7" s="198"/>
      <c r="Q7" s="198"/>
      <c r="R7" s="198"/>
      <c r="S7" s="198"/>
      <c r="T7" s="198"/>
      <c r="U7" s="198"/>
      <c r="V7" s="192"/>
    </row>
    <row r="8" spans="1:22" ht="16" customHeight="1">
      <c r="A8" s="192"/>
      <c r="B8" s="395"/>
      <c r="C8" s="395"/>
      <c r="D8" s="395"/>
      <c r="E8" s="395"/>
      <c r="F8" s="395"/>
      <c r="G8" s="395"/>
      <c r="H8" s="395"/>
      <c r="I8" s="395"/>
      <c r="J8" s="395"/>
      <c r="K8" s="198"/>
      <c r="L8" s="198"/>
      <c r="M8" s="198"/>
      <c r="N8" s="198"/>
      <c r="O8" s="198"/>
      <c r="P8" s="198"/>
      <c r="Q8" s="198"/>
      <c r="R8" s="198"/>
      <c r="S8" s="198"/>
      <c r="T8" s="198"/>
      <c r="U8" s="198"/>
      <c r="V8" s="192"/>
    </row>
    <row r="9" spans="1:22" ht="16" customHeight="1">
      <c r="A9" s="192"/>
      <c r="B9" s="395"/>
      <c r="C9" s="395"/>
      <c r="D9" s="395"/>
      <c r="E9" s="395"/>
      <c r="F9" s="395"/>
      <c r="G9" s="395"/>
      <c r="H9" s="395"/>
      <c r="I9" s="395"/>
      <c r="J9" s="395"/>
      <c r="K9" s="198"/>
      <c r="L9" s="198"/>
      <c r="M9" s="198"/>
      <c r="N9" s="198"/>
      <c r="O9" s="198"/>
      <c r="P9" s="198"/>
      <c r="Q9" s="198"/>
      <c r="R9" s="198"/>
      <c r="S9" s="198"/>
      <c r="T9" s="198"/>
      <c r="U9" s="198"/>
      <c r="V9" s="192"/>
    </row>
    <row r="10" spans="1:22" ht="16" customHeight="1">
      <c r="A10" s="192"/>
      <c r="B10" s="395"/>
      <c r="C10" s="395"/>
      <c r="D10" s="395"/>
      <c r="E10" s="395"/>
      <c r="F10" s="395"/>
      <c r="G10" s="395"/>
      <c r="H10" s="395"/>
      <c r="I10" s="395"/>
      <c r="J10" s="395"/>
      <c r="K10" s="198"/>
      <c r="L10" s="198"/>
      <c r="M10" s="198"/>
      <c r="N10" s="198"/>
      <c r="O10" s="198"/>
      <c r="P10" s="198"/>
      <c r="Q10" s="198"/>
      <c r="R10" s="198"/>
      <c r="S10" s="198"/>
      <c r="T10" s="198"/>
      <c r="U10" s="198"/>
      <c r="V10" s="192"/>
    </row>
    <row r="11" spans="1:22">
      <c r="A11" s="192"/>
      <c r="F11" s="198"/>
      <c r="G11" s="198"/>
      <c r="H11" s="198"/>
      <c r="I11" s="198"/>
      <c r="J11" s="198"/>
      <c r="K11" s="198"/>
      <c r="L11"/>
      <c r="M11" s="198"/>
      <c r="N11" s="198"/>
      <c r="O11" s="198"/>
      <c r="P11" s="198"/>
      <c r="Q11" s="198"/>
      <c r="R11" s="198"/>
      <c r="S11" s="198"/>
      <c r="T11" s="198"/>
      <c r="U11" s="198"/>
      <c r="V11" s="192"/>
    </row>
    <row r="12" spans="1:22" ht="39" customHeight="1">
      <c r="A12" s="192"/>
      <c r="B12" s="393" t="s">
        <v>303</v>
      </c>
      <c r="C12" s="393"/>
      <c r="D12" s="213">
        <f>IF(F12&gt;=0,SUM(tbl_ReplacewAlt_user[Petroleum Reduction from replacement of vehicles (GGE)]),0)</f>
        <v>0</v>
      </c>
      <c r="E12" s="199" t="s">
        <v>54</v>
      </c>
      <c r="F12" s="299">
        <f>IF(SUM(tbl_ReplacewAlt_user[Remaining Number of Vehicles of This Type To Be Replaced])&lt;0,-1,IF(SUM(tbl_ReplacedVeh_User[Number Remaining])&gt;0,0,1))</f>
        <v>1</v>
      </c>
      <c r="G12" s="392" t="str">
        <f>IF(F12=-1,"You have entered too many replacement vehicles of one or more types. Adjust the replacement vehicles or add vehicles to be replaced",IF(F12=0,"You still have vehicles in your replaced vehicle table with no matching replacement vehicle","This section is complete"))</f>
        <v>This section is complete</v>
      </c>
      <c r="H12" s="392"/>
      <c r="I12" s="392"/>
      <c r="J12" s="392"/>
      <c r="K12" s="429"/>
      <c r="L12"/>
      <c r="M12" s="198"/>
      <c r="N12" s="198"/>
      <c r="O12" s="198"/>
      <c r="P12" s="198"/>
      <c r="Q12" s="198"/>
      <c r="R12" s="198"/>
      <c r="S12" s="198"/>
      <c r="T12" s="198"/>
      <c r="U12" s="198"/>
      <c r="V12" s="192"/>
    </row>
    <row r="13" spans="1:22">
      <c r="A13" s="192"/>
      <c r="G13" s="192"/>
      <c r="H13"/>
      <c r="I13"/>
      <c r="J13"/>
      <c r="K13" s="192"/>
      <c r="L13" s="192"/>
      <c r="M13" s="197"/>
      <c r="N13" s="197"/>
      <c r="U13" s="192"/>
      <c r="V13" s="192"/>
    </row>
    <row r="14" spans="1:22">
      <c r="A14" s="192"/>
      <c r="G14" s="192"/>
      <c r="H14" s="192"/>
      <c r="I14" s="192"/>
      <c r="J14" s="192"/>
      <c r="K14" s="192"/>
      <c r="L14" s="192"/>
      <c r="M14" s="197"/>
      <c r="N14" s="197"/>
      <c r="U14" s="192"/>
      <c r="V14" s="192"/>
    </row>
    <row r="15" spans="1:22">
      <c r="A15" s="192"/>
      <c r="B15" s="396" t="s">
        <v>302</v>
      </c>
      <c r="C15" s="396"/>
      <c r="D15" s="396"/>
      <c r="E15" s="396"/>
      <c r="F15" s="396"/>
      <c r="G15" s="396"/>
      <c r="H15" s="396"/>
      <c r="I15" s="396"/>
      <c r="J15" s="396"/>
      <c r="K15" s="396"/>
      <c r="L15" s="396"/>
      <c r="M15" s="396"/>
      <c r="N15" s="197"/>
      <c r="U15" s="192"/>
      <c r="V15" s="192"/>
    </row>
    <row r="16" spans="1:22" ht="19">
      <c r="A16" s="192"/>
      <c r="B16" s="397" t="s">
        <v>68</v>
      </c>
      <c r="C16" s="398"/>
      <c r="D16" s="398"/>
      <c r="E16" s="398"/>
      <c r="F16" s="398"/>
      <c r="G16" s="398"/>
      <c r="H16" s="398"/>
      <c r="I16" s="398"/>
      <c r="J16" s="398"/>
      <c r="K16" s="398"/>
      <c r="L16" s="398"/>
      <c r="M16" s="398"/>
      <c r="N16" s="197"/>
      <c r="U16" s="192"/>
      <c r="V16" s="192"/>
    </row>
    <row r="17" spans="1:23" ht="63" customHeight="1" thickBot="1">
      <c r="A17" s="200"/>
      <c r="B17" s="201" t="s">
        <v>311</v>
      </c>
      <c r="C17" s="202" t="s">
        <v>312</v>
      </c>
      <c r="D17" s="202" t="s">
        <v>80</v>
      </c>
      <c r="E17" s="202" t="s">
        <v>307</v>
      </c>
      <c r="F17" s="202" t="s">
        <v>140</v>
      </c>
      <c r="G17" s="202" t="s">
        <v>141</v>
      </c>
      <c r="H17" s="203" t="s">
        <v>142</v>
      </c>
      <c r="I17" s="204" t="s">
        <v>299</v>
      </c>
      <c r="J17" s="204" t="s">
        <v>60</v>
      </c>
      <c r="K17" s="204" t="s">
        <v>61</v>
      </c>
      <c r="L17" s="205" t="s">
        <v>229</v>
      </c>
      <c r="M17" s="438" t="s">
        <v>161</v>
      </c>
      <c r="N17" s="438" t="s">
        <v>162</v>
      </c>
      <c r="O17" s="439" t="s">
        <v>163</v>
      </c>
      <c r="W17" s="200"/>
    </row>
    <row r="18" spans="1:23" ht="36" customHeight="1">
      <c r="A18" s="200"/>
      <c r="B18" s="261"/>
      <c r="C18" s="261"/>
      <c r="D18" s="281"/>
      <c r="E18" s="261"/>
      <c r="F18" s="261"/>
      <c r="G18" s="284"/>
      <c r="H18" s="288"/>
      <c r="I18" s="281"/>
      <c r="J18" s="264" t="str">
        <f>IF(tbl_ReplacedVeh_User[[#This Row],[*Fuel Used in Replaced Vehicle]]="","",VLOOKUP(tbl_ReplacedVeh_User[[#This Row],[*Fuel Used in Replaced Vehicle]],Tbl_Fuel_Conversions,3,FALSE))</f>
        <v/>
      </c>
      <c r="K18" s="265" t="str">
        <f>IF(tbl_ReplacedVeh_User[[#This Row],[GGE Conversion Factor]]="","",tbl_ReplacedVeh_User[[#This Row],[*Fuel Economy of Replaced Vehicle (miles/gallon)]]/tbl_ReplacedVeh_User[[#This Row],[GGE Conversion Factor]])</f>
        <v/>
      </c>
      <c r="L18" s="266" t="str">
        <f>IF(tbl_ReplacedVeh_User[[#This Row],[Fuel Economy of Replaced Vehicle (miles/GGE)]]="","",tbl_ReplacedVeh_User[[#This Row],[*Average VMT of Replaced Vehicles (miles/year/vehicle)]]/tbl_ReplacedVeh_User[[#This Row],[Fuel Economy of Replaced Vehicle (miles/GGE)]])</f>
        <v/>
      </c>
      <c r="M18" s="430">
        <f>SUMIF(tbl_ReplacedVeh_User[*Description/unique ID],tbl_ReplacedVeh_User[[#This Row],[*Description/unique ID]],tbl_ReplacedVeh_User[*Number of Vehicles])-SUMIF(tbl_ReplacewAlt_user[*Vehicle Being Replaced],tbl_ReplacedVeh_User[[#This Row],[*Description/unique ID]],tbl_ReplacewAlt_user[*Number of Replacement Vehicles])</f>
        <v>0</v>
      </c>
      <c r="N18" s="431" t="str">
        <f>IF(tbl_ReplacedVeh_User[[#This Row],[Number Remaining]]&lt;=0,"",ROW())</f>
        <v/>
      </c>
      <c r="O18" s="432" t="str">
        <f>IF(ROW(M18)-ROW(M$18)+1&gt;COUNTIF(tbl_ReplacedVeh_User[Number Remaining],"&gt;0"),"",INDEX(tbl_ReplacedVeh_User[*Description/unique ID],LARGE(tbl_ReplacedVeh_User[Vehicle List Rows],1+ROW(M18)-ROW(M$18))+1-ROW(M$18)))</f>
        <v/>
      </c>
      <c r="W18" s="200"/>
    </row>
    <row r="19" spans="1:23" ht="18" customHeight="1">
      <c r="A19" s="200"/>
      <c r="B19" s="261"/>
      <c r="C19" s="261"/>
      <c r="D19" s="281"/>
      <c r="E19" s="261"/>
      <c r="F19" s="261"/>
      <c r="G19" s="284"/>
      <c r="H19" s="288"/>
      <c r="I19" s="281"/>
      <c r="J19" s="264" t="str">
        <f>IF(tbl_ReplacedVeh_User[[#This Row],[*Fuel Used in Replaced Vehicle]]="","",VLOOKUP(tbl_ReplacedVeh_User[[#This Row],[*Fuel Used in Replaced Vehicle]],Tbl_Fuel_Conversions,3,FALSE))</f>
        <v/>
      </c>
      <c r="K19" s="265" t="str">
        <f>IF(tbl_ReplacedVeh_User[[#This Row],[GGE Conversion Factor]]="","",tbl_ReplacedVeh_User[[#This Row],[*Fuel Economy of Replaced Vehicle (miles/gallon)]]/tbl_ReplacedVeh_User[[#This Row],[GGE Conversion Factor]])</f>
        <v/>
      </c>
      <c r="L19" s="266" t="str">
        <f>IF(tbl_ReplacedVeh_User[[#This Row],[Fuel Economy of Replaced Vehicle (miles/GGE)]]="","",tbl_ReplacedVeh_User[[#This Row],[*Average VMT of Replaced Vehicles (miles/year/vehicle)]]/tbl_ReplacedVeh_User[[#This Row],[Fuel Economy of Replaced Vehicle (miles/GGE)]])</f>
        <v/>
      </c>
      <c r="M19" s="430">
        <f>SUMIF(tbl_ReplacedVeh_User[*Description/unique ID],tbl_ReplacedVeh_User[[#This Row],[*Description/unique ID]],tbl_ReplacedVeh_User[*Number of Vehicles])-SUMIF(tbl_ReplacewAlt_user[*Vehicle Being Replaced],tbl_ReplacedVeh_User[[#This Row],[*Description/unique ID]],tbl_ReplacewAlt_user[*Number of Replacement Vehicles])</f>
        <v>0</v>
      </c>
      <c r="N19" s="431" t="str">
        <f>IF(tbl_ReplacedVeh_User[[#This Row],[Number Remaining]]&lt;=0,"",ROW())</f>
        <v/>
      </c>
      <c r="O19" s="432" t="str">
        <f>IF(ROW(M19)-ROW(M$18)+1&gt;COUNTIF(tbl_ReplacedVeh_User[Number Remaining],"&gt;0"),"",INDEX(tbl_ReplacedVeh_User[*Description/unique ID],LARGE(tbl_ReplacedVeh_User[Vehicle List Rows],1+ROW(M19)-ROW(M$18))+1-ROW(M$18)))</f>
        <v/>
      </c>
      <c r="W19" s="200"/>
    </row>
    <row r="20" spans="1:23" s="206" customFormat="1" ht="18" customHeight="1">
      <c r="B20" s="175"/>
      <c r="C20" s="175"/>
      <c r="D20" s="263"/>
      <c r="E20" s="175"/>
      <c r="F20" s="261"/>
      <c r="G20" s="262"/>
      <c r="H20" s="263"/>
      <c r="I20" s="263"/>
      <c r="J20" s="264" t="str">
        <f>IF(tbl_ReplacedVeh_User[[#This Row],[*Fuel Used in Replaced Vehicle]]="","",VLOOKUP(tbl_ReplacedVeh_User[[#This Row],[*Fuel Used in Replaced Vehicle]],Tbl_Fuel_Conversions,3,FALSE))</f>
        <v/>
      </c>
      <c r="K20" s="265" t="str">
        <f>IF(tbl_ReplacedVeh_User[[#This Row],[GGE Conversion Factor]]="","",tbl_ReplacedVeh_User[[#This Row],[*Fuel Economy of Replaced Vehicle (miles/gallon)]]/tbl_ReplacedVeh_User[[#This Row],[GGE Conversion Factor]])</f>
        <v/>
      </c>
      <c r="L20" s="266" t="str">
        <f>IF(tbl_ReplacedVeh_User[[#This Row],[Fuel Economy of Replaced Vehicle (miles/GGE)]]="","",tbl_ReplacedVeh_User[[#This Row],[*Average VMT of Replaced Vehicles (miles/year/vehicle)]]/tbl_ReplacedVeh_User[[#This Row],[Fuel Economy of Replaced Vehicle (miles/GGE)]])</f>
        <v/>
      </c>
      <c r="M20" s="433">
        <f>SUMIF(tbl_ReplacedVeh_User[*Description/unique ID],tbl_ReplacedVeh_User[[#This Row],[*Description/unique ID]],tbl_ReplacedVeh_User[*Number of Vehicles])-SUMIF(tbl_ReplacewAlt_user[*Vehicle Being Replaced],tbl_ReplacedVeh_User[[#This Row],[*Description/unique ID]],tbl_ReplacewAlt_user[*Number of Replacement Vehicles])</f>
        <v>0</v>
      </c>
      <c r="N20" s="434" t="str">
        <f>IF(tbl_ReplacedVeh_User[[#This Row],[Number Remaining]]&lt;=0,"",ROW())</f>
        <v/>
      </c>
      <c r="O20" s="432" t="str">
        <f>IF(ROW(M20)-ROW(M$18)+1&gt;COUNTIF(tbl_ReplacedVeh_User[Number Remaining],"&gt;0"),"",INDEX(tbl_ReplacedVeh_User[*Description/unique ID],LARGE(tbl_ReplacedVeh_User[Vehicle List Rows],1+ROW(M20)-ROW(M$18))+1-ROW(M$18)))</f>
        <v/>
      </c>
      <c r="S20" s="195"/>
    </row>
    <row r="21" spans="1:23" s="206" customFormat="1" ht="18" customHeight="1">
      <c r="B21" s="175"/>
      <c r="C21" s="175"/>
      <c r="D21" s="263"/>
      <c r="E21" s="175"/>
      <c r="F21" s="261"/>
      <c r="G21" s="262"/>
      <c r="H21" s="263"/>
      <c r="I21" s="263"/>
      <c r="J21" s="264" t="str">
        <f>IF(tbl_ReplacedVeh_User[[#This Row],[*Fuel Used in Replaced Vehicle]]="","",VLOOKUP(tbl_ReplacedVeh_User[[#This Row],[*Fuel Used in Replaced Vehicle]],Tbl_Fuel_Conversions,3,FALSE))</f>
        <v/>
      </c>
      <c r="K21" s="265" t="str">
        <f>IF(tbl_ReplacedVeh_User[[#This Row],[GGE Conversion Factor]]="","",tbl_ReplacedVeh_User[[#This Row],[*Fuel Economy of Replaced Vehicle (miles/gallon)]]/tbl_ReplacedVeh_User[[#This Row],[GGE Conversion Factor]])</f>
        <v/>
      </c>
      <c r="L21" s="266" t="str">
        <f>IF(tbl_ReplacedVeh_User[[#This Row],[Fuel Economy of Replaced Vehicle (miles/GGE)]]="","",tbl_ReplacedVeh_User[[#This Row],[*Average VMT of Replaced Vehicles (miles/year/vehicle)]]/tbl_ReplacedVeh_User[[#This Row],[Fuel Economy of Replaced Vehicle (miles/GGE)]])</f>
        <v/>
      </c>
      <c r="M21" s="433">
        <f>SUMIF(tbl_ReplacedVeh_User[*Description/unique ID],tbl_ReplacedVeh_User[[#This Row],[*Description/unique ID]],tbl_ReplacedVeh_User[*Number of Vehicles])-SUMIF(tbl_ReplacewAlt_user[*Vehicle Being Replaced],tbl_ReplacedVeh_User[[#This Row],[*Description/unique ID]],tbl_ReplacewAlt_user[*Number of Replacement Vehicles])</f>
        <v>0</v>
      </c>
      <c r="N21" s="434" t="str">
        <f>IF(tbl_ReplacedVeh_User[[#This Row],[Number Remaining]]&lt;=0,"",ROW())</f>
        <v/>
      </c>
      <c r="O21" s="432" t="str">
        <f>IF(ROW(M21)-ROW(M$18)+1&gt;COUNTIF(tbl_ReplacedVeh_User[Number Remaining],"&gt;0"),"",INDEX(tbl_ReplacedVeh_User[*Description/unique ID],LARGE(tbl_ReplacedVeh_User[Vehicle List Rows],1+ROW(M21)-ROW(M$18))+1-ROW(M$18)))</f>
        <v/>
      </c>
      <c r="Q21" s="292"/>
      <c r="S21" s="195"/>
    </row>
    <row r="22" spans="1:23" s="206" customFormat="1" ht="18" customHeight="1">
      <c r="B22" s="175"/>
      <c r="C22" s="175"/>
      <c r="D22" s="263"/>
      <c r="E22" s="175"/>
      <c r="F22" s="261"/>
      <c r="G22" s="262"/>
      <c r="H22" s="263"/>
      <c r="I22" s="263"/>
      <c r="J22" s="264" t="str">
        <f>IF(tbl_ReplacedVeh_User[[#This Row],[*Fuel Used in Replaced Vehicle]]="","",VLOOKUP(tbl_ReplacedVeh_User[[#This Row],[*Fuel Used in Replaced Vehicle]],Tbl_Fuel_Conversions,3,FALSE))</f>
        <v/>
      </c>
      <c r="K22" s="265" t="str">
        <f>IF(tbl_ReplacedVeh_User[[#This Row],[GGE Conversion Factor]]="","",tbl_ReplacedVeh_User[[#This Row],[*Fuel Economy of Replaced Vehicle (miles/gallon)]]/tbl_ReplacedVeh_User[[#This Row],[GGE Conversion Factor]])</f>
        <v/>
      </c>
      <c r="L22" s="266" t="str">
        <f>IF(tbl_ReplacedVeh_User[[#This Row],[Fuel Economy of Replaced Vehicle (miles/GGE)]]="","",tbl_ReplacedVeh_User[[#This Row],[*Average VMT of Replaced Vehicles (miles/year/vehicle)]]/tbl_ReplacedVeh_User[[#This Row],[Fuel Economy of Replaced Vehicle (miles/GGE)]])</f>
        <v/>
      </c>
      <c r="M22" s="435">
        <f>SUMIF(tbl_ReplacedVeh_User[*Description/unique ID],tbl_ReplacedVeh_User[[#This Row],[*Description/unique ID]],tbl_ReplacedVeh_User[*Number of Vehicles])-SUMIF(tbl_ReplacewAlt_user[*Vehicle Being Replaced],tbl_ReplacedVeh_User[[#This Row],[*Description/unique ID]],tbl_ReplacewAlt_user[*Number of Replacement Vehicles])</f>
        <v>0</v>
      </c>
      <c r="N22" s="436" t="str">
        <f>IF(tbl_ReplacedVeh_User[[#This Row],[Number Remaining]]&lt;=0,"",ROW())</f>
        <v/>
      </c>
      <c r="O22" s="432" t="str">
        <f>IF(ROW(M22)-ROW(M$18)+1&gt;COUNTIF(tbl_ReplacedVeh_User[Number Remaining],"&gt;0"),"",INDEX(tbl_ReplacedVeh_User[*Description/unique ID],LARGE(tbl_ReplacedVeh_User[Vehicle List Rows],1+ROW(M22)-ROW(M$18))+1-ROW(M$18)))</f>
        <v/>
      </c>
      <c r="Q22" s="292"/>
    </row>
    <row r="23" spans="1:23" s="206" customFormat="1" ht="18" customHeight="1">
      <c r="B23" s="267"/>
      <c r="C23" s="267"/>
      <c r="D23" s="269"/>
      <c r="E23" s="267"/>
      <c r="F23" s="261"/>
      <c r="G23" s="268"/>
      <c r="H23" s="269"/>
      <c r="I23" s="269"/>
      <c r="J23" s="270" t="str">
        <f>IF(tbl_ReplacedVeh_User[[#This Row],[*Fuel Used in Replaced Vehicle]]="","",VLOOKUP(tbl_ReplacedVeh_User[[#This Row],[*Fuel Used in Replaced Vehicle]],Tbl_Fuel_Conversions,3,FALSE))</f>
        <v/>
      </c>
      <c r="K23" s="271" t="str">
        <f>IF(tbl_ReplacedVeh_User[[#This Row],[GGE Conversion Factor]]="","",tbl_ReplacedVeh_User[[#This Row],[*Fuel Economy of Replaced Vehicle (miles/gallon)]]/tbl_ReplacedVeh_User[[#This Row],[GGE Conversion Factor]])</f>
        <v/>
      </c>
      <c r="L23" s="272" t="str">
        <f>IF(tbl_ReplacedVeh_User[[#This Row],[Fuel Economy of Replaced Vehicle (miles/GGE)]]="","",tbl_ReplacedVeh_User[[#This Row],[*Average VMT of Replaced Vehicles (miles/year/vehicle)]]/tbl_ReplacedVeh_User[[#This Row],[Fuel Economy of Replaced Vehicle (miles/GGE)]])</f>
        <v/>
      </c>
      <c r="M23" s="435">
        <f>SUMIF(tbl_ReplacedVeh_User[*Description/unique ID],tbl_ReplacedVeh_User[[#This Row],[*Description/unique ID]],tbl_ReplacedVeh_User[*Number of Vehicles])-SUMIF(tbl_ReplacewAlt_user[*Vehicle Being Replaced],tbl_ReplacedVeh_User[[#This Row],[*Description/unique ID]],tbl_ReplacewAlt_user[*Number of Replacement Vehicles])</f>
        <v>0</v>
      </c>
      <c r="N23" s="436" t="str">
        <f>IF(tbl_ReplacedVeh_User[[#This Row],[Number Remaining]]&lt;=0,"",ROW())</f>
        <v/>
      </c>
      <c r="O23" s="432" t="str">
        <f>IF(ROW(M23)-ROW(M$18)+1&gt;COUNTIF(tbl_ReplacedVeh_User[Number Remaining],"&gt;0"),"",INDEX(tbl_ReplacedVeh_User[*Description/unique ID],LARGE(tbl_ReplacedVeh_User[Vehicle List Rows],1+ROW(M23)-ROW(M$18))+1-ROW(M$18)))</f>
        <v/>
      </c>
    </row>
    <row r="24" spans="1:23" s="206" customFormat="1" ht="18" customHeight="1">
      <c r="B24" s="267"/>
      <c r="C24" s="267"/>
      <c r="D24" s="269"/>
      <c r="E24" s="267"/>
      <c r="F24" s="273"/>
      <c r="G24" s="274"/>
      <c r="H24" s="269"/>
      <c r="I24" s="269"/>
      <c r="J24" s="270" t="str">
        <f>IF(tbl_ReplacedVeh_User[[#This Row],[*Fuel Used in Replaced Vehicle]]="","",VLOOKUP(tbl_ReplacedVeh_User[[#This Row],[*Fuel Used in Replaced Vehicle]],Tbl_Fuel_Conversions,3,FALSE))</f>
        <v/>
      </c>
      <c r="K24" s="275" t="str">
        <f>IF(tbl_ReplacedVeh_User[[#This Row],[GGE Conversion Factor]]="","",tbl_ReplacedVeh_User[[#This Row],[*Fuel Economy of Replaced Vehicle (miles/gallon)]]/tbl_ReplacedVeh_User[[#This Row],[GGE Conversion Factor]])</f>
        <v/>
      </c>
      <c r="L24" s="276" t="str">
        <f>IF(tbl_ReplacedVeh_User[[#This Row],[Fuel Economy of Replaced Vehicle (miles/GGE)]]="","",tbl_ReplacedVeh_User[[#This Row],[*Average VMT of Replaced Vehicles (miles/year/vehicle)]]/tbl_ReplacedVeh_User[[#This Row],[Fuel Economy of Replaced Vehicle (miles/GGE)]])</f>
        <v/>
      </c>
      <c r="M24" s="435">
        <f>SUMIF(tbl_ReplacedVeh_User[*Description/unique ID],tbl_ReplacedVeh_User[[#This Row],[*Description/unique ID]],tbl_ReplacedVeh_User[*Number of Vehicles])-SUMIF(tbl_ReplacewAlt_user[*Vehicle Being Replaced],tbl_ReplacedVeh_User[[#This Row],[*Description/unique ID]],tbl_ReplacewAlt_user[*Number of Replacement Vehicles])</f>
        <v>0</v>
      </c>
      <c r="N24" s="436" t="str">
        <f>IF(tbl_ReplacedVeh_User[[#This Row],[Number Remaining]]&lt;=0,"",ROW())</f>
        <v/>
      </c>
      <c r="O24" s="432" t="str">
        <f>IF(ROW(M24)-ROW(M$18)+1&gt;COUNTIF(tbl_ReplacedVeh_User[Number Remaining],"&gt;0"),"",INDEX(tbl_ReplacedVeh_User[*Description/unique ID],LARGE(tbl_ReplacedVeh_User[Vehicle List Rows],1+ROW(M24)-ROW(M$18))+1-ROW(M$18)))</f>
        <v/>
      </c>
    </row>
    <row r="25" spans="1:23" s="206" customFormat="1" ht="18" customHeight="1">
      <c r="B25" s="267"/>
      <c r="C25" s="267"/>
      <c r="D25" s="269"/>
      <c r="E25" s="267"/>
      <c r="F25" s="273"/>
      <c r="G25" s="274"/>
      <c r="H25" s="269"/>
      <c r="I25" s="269"/>
      <c r="J25" s="270" t="str">
        <f>IF(tbl_ReplacedVeh_User[[#This Row],[*Fuel Used in Replaced Vehicle]]="","",VLOOKUP(tbl_ReplacedVeh_User[[#This Row],[*Fuel Used in Replaced Vehicle]],Tbl_Fuel_Conversions,3,FALSE))</f>
        <v/>
      </c>
      <c r="K25" s="275" t="str">
        <f>IF(tbl_ReplacedVeh_User[[#This Row],[GGE Conversion Factor]]="","",tbl_ReplacedVeh_User[[#This Row],[*Fuel Economy of Replaced Vehicle (miles/gallon)]]/tbl_ReplacedVeh_User[[#This Row],[GGE Conversion Factor]])</f>
        <v/>
      </c>
      <c r="L25" s="276" t="str">
        <f>IF(tbl_ReplacedVeh_User[[#This Row],[Fuel Economy of Replaced Vehicle (miles/GGE)]]="","",tbl_ReplacedVeh_User[[#This Row],[*Average VMT of Replaced Vehicles (miles/year/vehicle)]]/tbl_ReplacedVeh_User[[#This Row],[Fuel Economy of Replaced Vehicle (miles/GGE)]])</f>
        <v/>
      </c>
      <c r="M25" s="435">
        <f>SUMIF(tbl_ReplacedVeh_User[*Description/unique ID],tbl_ReplacedVeh_User[[#This Row],[*Description/unique ID]],tbl_ReplacedVeh_User[*Number of Vehicles])-SUMIF(tbl_ReplacewAlt_user[*Vehicle Being Replaced],tbl_ReplacedVeh_User[[#This Row],[*Description/unique ID]],tbl_ReplacewAlt_user[*Number of Replacement Vehicles])</f>
        <v>0</v>
      </c>
      <c r="N25" s="436" t="str">
        <f>IF(tbl_ReplacedVeh_User[[#This Row],[Number Remaining]]&lt;=0,"",ROW())</f>
        <v/>
      </c>
      <c r="O25" s="432" t="str">
        <f>IF(ROW(M25)-ROW(M$18)+1&gt;COUNTIF(tbl_ReplacedVeh_User[Number Remaining],"&gt;0"),"",INDEX(tbl_ReplacedVeh_User[*Description/unique ID],LARGE(tbl_ReplacedVeh_User[Vehicle List Rows],1+ROW(M25)-ROW(M$18))+1-ROW(M$18)))</f>
        <v/>
      </c>
    </row>
    <row r="26" spans="1:23" s="206" customFormat="1" ht="17" customHeight="1">
      <c r="B26" s="267"/>
      <c r="C26" s="267"/>
      <c r="D26" s="269"/>
      <c r="E26" s="267"/>
      <c r="F26" s="273"/>
      <c r="G26" s="274"/>
      <c r="H26" s="269"/>
      <c r="I26" s="269"/>
      <c r="J26" s="270" t="str">
        <f>IF(tbl_ReplacedVeh_User[[#This Row],[*Fuel Used in Replaced Vehicle]]="","",VLOOKUP(tbl_ReplacedVeh_User[[#This Row],[*Fuel Used in Replaced Vehicle]],Tbl_Fuel_Conversions,3,FALSE))</f>
        <v/>
      </c>
      <c r="K26" s="275" t="str">
        <f>IF(tbl_ReplacedVeh_User[[#This Row],[GGE Conversion Factor]]="","",tbl_ReplacedVeh_User[[#This Row],[*Fuel Economy of Replaced Vehicle (miles/gallon)]]/tbl_ReplacedVeh_User[[#This Row],[GGE Conversion Factor]])</f>
        <v/>
      </c>
      <c r="L26" s="276" t="str">
        <f>IF(tbl_ReplacedVeh_User[[#This Row],[Fuel Economy of Replaced Vehicle (miles/GGE)]]="","",tbl_ReplacedVeh_User[[#This Row],[*Average VMT of Replaced Vehicles (miles/year/vehicle)]]/tbl_ReplacedVeh_User[[#This Row],[Fuel Economy of Replaced Vehicle (miles/GGE)]])</f>
        <v/>
      </c>
      <c r="M26" s="435">
        <f>SUMIF(tbl_ReplacedVeh_User[*Description/unique ID],tbl_ReplacedVeh_User[[#This Row],[*Description/unique ID]],tbl_ReplacedVeh_User[*Number of Vehicles])-SUMIF(tbl_ReplacewAlt_user[*Vehicle Being Replaced],tbl_ReplacedVeh_User[[#This Row],[*Description/unique ID]],tbl_ReplacewAlt_user[*Number of Replacement Vehicles])</f>
        <v>0</v>
      </c>
      <c r="N26" s="436" t="str">
        <f>IF(tbl_ReplacedVeh_User[[#This Row],[Number Remaining]]&lt;=0,"",ROW())</f>
        <v/>
      </c>
      <c r="O26" s="437" t="str">
        <f>IF(ROW(M26)-ROW(M$18)+1&gt;COUNTIF(tbl_ReplacedVeh_User[Number Remaining],"&gt;0"),"",INDEX(tbl_ReplacedVeh_User[*Description/unique ID],LARGE(tbl_ReplacedVeh_User[Vehicle List Rows],1+ROW(M26)-ROW(M$18))+1-ROW(M$18)))</f>
        <v/>
      </c>
    </row>
    <row r="27" spans="1:23" s="206" customFormat="1" ht="17" customHeight="1"/>
    <row r="28" spans="1:23" s="206" customFormat="1" ht="17" customHeight="1" thickBot="1">
      <c r="I28" s="207"/>
    </row>
    <row r="29" spans="1:23" s="206" customFormat="1" ht="17" customHeight="1" thickTop="1">
      <c r="B29" s="208" t="s">
        <v>287</v>
      </c>
      <c r="C29" s="208"/>
      <c r="D29" s="208"/>
      <c r="E29" s="208"/>
      <c r="F29" s="208"/>
      <c r="G29" s="208"/>
      <c r="H29" s="208"/>
      <c r="I29" s="208"/>
      <c r="J29" s="208"/>
      <c r="K29" s="208"/>
      <c r="L29" s="208"/>
    </row>
    <row r="30" spans="1:23" customFormat="1" ht="17" customHeight="1"/>
    <row r="31" spans="1:23" customFormat="1" ht="17" customHeight="1"/>
    <row r="32" spans="1:23" ht="17" thickBot="1">
      <c r="B32" s="389" t="s">
        <v>286</v>
      </c>
      <c r="C32" s="389"/>
      <c r="D32" s="389"/>
      <c r="E32" s="389"/>
      <c r="F32" s="389"/>
      <c r="G32" s="389"/>
      <c r="H32" s="389"/>
      <c r="I32" s="389"/>
      <c r="J32" s="389"/>
      <c r="K32" s="389"/>
      <c r="L32" s="389"/>
      <c r="M32"/>
      <c r="N32"/>
      <c r="O32"/>
    </row>
    <row r="33" spans="2:15" ht="20" thickBot="1">
      <c r="B33" s="390" t="s">
        <v>233</v>
      </c>
      <c r="C33" s="391"/>
      <c r="D33" s="391"/>
      <c r="E33" s="391"/>
      <c r="F33" s="391"/>
      <c r="G33" s="391"/>
      <c r="H33" s="391"/>
      <c r="I33" s="391"/>
      <c r="J33" s="391"/>
      <c r="K33" s="391"/>
      <c r="L33" s="391"/>
      <c r="M33"/>
      <c r="N33" s="302"/>
      <c r="O33"/>
    </row>
    <row r="34" spans="2:15" ht="138" customHeight="1">
      <c r="B34" s="209" t="s">
        <v>234</v>
      </c>
      <c r="C34" s="209" t="s">
        <v>154</v>
      </c>
      <c r="D34" s="209" t="s">
        <v>155</v>
      </c>
      <c r="E34" s="209" t="s">
        <v>274</v>
      </c>
      <c r="F34" s="209" t="s">
        <v>231</v>
      </c>
      <c r="G34" s="209" t="s">
        <v>235</v>
      </c>
      <c r="H34" s="210" t="s">
        <v>143</v>
      </c>
      <c r="I34" s="211" t="s">
        <v>156</v>
      </c>
      <c r="J34" s="212" t="s">
        <v>78</v>
      </c>
      <c r="K34" s="212" t="s">
        <v>230</v>
      </c>
      <c r="L34" s="211" t="s">
        <v>300</v>
      </c>
    </row>
    <row r="35" spans="2:15" ht="17">
      <c r="B35" s="261"/>
      <c r="C35" s="281"/>
      <c r="D35" s="281"/>
      <c r="E35" s="282"/>
      <c r="F35" s="283" t="str">
        <f>IF(tbl_ReplacewAlt_user[[#This Row],[*Make and Model of Replacement Vehicles]]="","",IF(OR(tbl_ReplacewAlt_user[[#This Row],[*Vehicle Being Replaced]]="",max_remaining=0),0,max_remaining))</f>
        <v/>
      </c>
      <c r="G35" s="284"/>
      <c r="H35" s="285"/>
      <c r="I35" s="286"/>
      <c r="J35" s="287">
        <f>IF(tbl_ReplacewAlt_user[[#This Row],[*Fuel Economy of Replacement Vehicle (miles/GGE)]]="",0,tbl_ReplacewAlt_user[[#This Row],[*Number of Replacement Vehicles]]*tbl_ReplacewAlt_user[[#This Row],[*Average VMT of Replacement Vehicles (miles/year/ vehicle)]]/tbl_ReplacewAlt_user[[#This Row],[*Fuel Economy of Replacement Vehicle (miles/GGE)]])</f>
        <v>0</v>
      </c>
      <c r="K35" s="287">
        <f>IF(tbl_ReplacewAlt_user[[#This Row],[*Vehicle Being Replaced]]="",0,INDEX(tbl_ReplacedVeh_User[],MATCH(tbl_ReplacewAlt_user[[#This Row],[*Vehicle Being Replaced]],tbl_ReplacedVeh_User[*Description/unique ID],0),MATCH("Petroleum Used in Replaced Vehicle (GGE/year/ vehicle)",tbl_ReplacedVeh_User[#Headers],0))*tbl_ReplacewAlt_user[[#This Row],[*Number of Replacement Vehicles]])</f>
        <v>0</v>
      </c>
      <c r="L35" s="277">
        <f>tbl_ReplacewAlt_user[[#This Row],[Petroleum Used in Replaced Vehicles (GGE/year) '[see Replaced Vehicles table above for details']]]-tbl_ReplacewAlt_user[[#This Row],[Conventional Fuel Use (GGE)]]</f>
        <v>0</v>
      </c>
    </row>
    <row r="36" spans="2:15" ht="17">
      <c r="B36" s="175"/>
      <c r="C36" s="288"/>
      <c r="D36" s="281"/>
      <c r="E36" s="175"/>
      <c r="F36" s="289" t="str">
        <f>IF(tbl_ReplacewAlt_user[[#This Row],[*Make and Model of Replacement Vehicles]]="","",IF(OR(tbl_ReplacewAlt_user[[#This Row],[*Vehicle Being Replaced]]="",max_remaining=0),0,max_remaining))</f>
        <v/>
      </c>
      <c r="G36" s="262"/>
      <c r="H36" s="263"/>
      <c r="I36" s="286"/>
      <c r="J36" s="278">
        <f>IF(tbl_ReplacewAlt_user[[#This Row],[*Fuel Economy of Replacement Vehicle (miles/GGE)]]="",0,tbl_ReplacewAlt_user[[#This Row],[*Number of Replacement Vehicles]]*tbl_ReplacewAlt_user[[#This Row],[*Average VMT of Replacement Vehicles (miles/year/ vehicle)]]/tbl_ReplacewAlt_user[[#This Row],[*Fuel Economy of Replacement Vehicle (miles/GGE)]])</f>
        <v>0</v>
      </c>
      <c r="K36" s="287">
        <f>IF(tbl_ReplacewAlt_user[[#This Row],[*Vehicle Being Replaced]]="",0,INDEX(tbl_ReplacedVeh_User[],MATCH(tbl_ReplacewAlt_user[[#This Row],[*Vehicle Being Replaced]],tbl_ReplacedVeh_User[*Description/unique ID],0),MATCH("Petroleum Used in Replaced Vehicle (GGE/year/ vehicle)",tbl_ReplacedVeh_User[#Headers],0))*tbl_ReplacewAlt_user[[#This Row],[*Number of Replacement Vehicles]])</f>
        <v>0</v>
      </c>
      <c r="L36" s="278">
        <f>tbl_ReplacewAlt_user[[#This Row],[Petroleum Used in Replaced Vehicles (GGE/year) '[see Replaced Vehicles table above for details']]]-tbl_ReplacewAlt_user[[#This Row],[Conventional Fuel Use (GGE)]]</f>
        <v>0</v>
      </c>
      <c r="N36" s="301"/>
    </row>
    <row r="37" spans="2:15" ht="17">
      <c r="B37" s="267"/>
      <c r="C37" s="290"/>
      <c r="D37" s="269"/>
      <c r="E37" s="267"/>
      <c r="F37" s="291" t="str">
        <f>IF(tbl_ReplacewAlt_user[[#This Row],[*Make and Model of Replacement Vehicles]]="","",IF(OR(tbl_ReplacewAlt_user[[#This Row],[*Vehicle Being Replaced]]="",max_remaining=0),0,max_remaining))</f>
        <v/>
      </c>
      <c r="G37" s="274"/>
      <c r="H37" s="269"/>
      <c r="I37" s="286"/>
      <c r="J37" s="279">
        <f>IF(tbl_ReplacewAlt_user[[#This Row],[*Fuel Economy of Replacement Vehicle (miles/GGE)]]="",0,tbl_ReplacewAlt_user[[#This Row],[*Number of Replacement Vehicles]]*tbl_ReplacewAlt_user[[#This Row],[*Average VMT of Replacement Vehicles (miles/year/ vehicle)]]/tbl_ReplacewAlt_user[[#This Row],[*Fuel Economy of Replacement Vehicle (miles/GGE)]])</f>
        <v>0</v>
      </c>
      <c r="K37" s="287">
        <f>IF(tbl_ReplacewAlt_user[[#This Row],[*Vehicle Being Replaced]]="",0,INDEX(tbl_ReplacedVeh_User[],MATCH(tbl_ReplacewAlt_user[[#This Row],[*Vehicle Being Replaced]],tbl_ReplacedVeh_User[*Description/unique ID],0),MATCH("Petroleum Used in Replaced Vehicle (GGE/year/ vehicle)",tbl_ReplacedVeh_User[#Headers],0))*tbl_ReplacewAlt_user[[#This Row],[*Number of Replacement Vehicles]])</f>
        <v>0</v>
      </c>
      <c r="L37" s="279">
        <f>tbl_ReplacewAlt_user[[#This Row],[Petroleum Used in Replaced Vehicles (GGE/year) '[see Replaced Vehicles table above for details']]]-tbl_ReplacewAlt_user[[#This Row],[Conventional Fuel Use (GGE)]]</f>
        <v>0</v>
      </c>
    </row>
    <row r="38" spans="2:15" ht="17">
      <c r="B38" s="267"/>
      <c r="C38" s="290"/>
      <c r="D38" s="269"/>
      <c r="E38" s="267"/>
      <c r="F38" s="291" t="str">
        <f>IF(tbl_ReplacewAlt_user[[#This Row],[*Make and Model of Replacement Vehicles]]="","",IF(OR(tbl_ReplacewAlt_user[[#This Row],[*Vehicle Being Replaced]]="",max_remaining=0),0,max_remaining))</f>
        <v/>
      </c>
      <c r="G38" s="274"/>
      <c r="H38" s="269"/>
      <c r="I38" s="286"/>
      <c r="J38" s="279">
        <f>IF(tbl_ReplacewAlt_user[[#This Row],[*Fuel Economy of Replacement Vehicle (miles/GGE)]]="",0,tbl_ReplacewAlt_user[[#This Row],[*Number of Replacement Vehicles]]*tbl_ReplacewAlt_user[[#This Row],[*Average VMT of Replacement Vehicles (miles/year/ vehicle)]]/tbl_ReplacewAlt_user[[#This Row],[*Fuel Economy of Replacement Vehicle (miles/GGE)]])</f>
        <v>0</v>
      </c>
      <c r="K38" s="287">
        <f>IF(tbl_ReplacewAlt_user[[#This Row],[*Vehicle Being Replaced]]="",0,INDEX(tbl_ReplacedVeh_User[],MATCH(tbl_ReplacewAlt_user[[#This Row],[*Vehicle Being Replaced]],tbl_ReplacedVeh_User[*Description/unique ID],0),MATCH("Petroleum Used in Replaced Vehicle (GGE/year/ vehicle)",tbl_ReplacedVeh_User[#Headers],0))*tbl_ReplacewAlt_user[[#This Row],[*Number of Replacement Vehicles]])</f>
        <v>0</v>
      </c>
      <c r="L38" s="279">
        <f>tbl_ReplacewAlt_user[[#This Row],[Petroleum Used in Replaced Vehicles (GGE/year) '[see Replaced Vehicles table above for details']]]-tbl_ReplacewAlt_user[[#This Row],[Conventional Fuel Use (GGE)]]</f>
        <v>0</v>
      </c>
    </row>
    <row r="39" spans="2:15" ht="17">
      <c r="B39" s="304"/>
      <c r="C39" s="290"/>
      <c r="D39" s="269"/>
      <c r="E39" s="267"/>
      <c r="F39" s="291" t="str">
        <f>IF(tbl_ReplacewAlt_user[[#This Row],[*Make and Model of Replacement Vehicles]]="","",IF(OR(tbl_ReplacewAlt_user[[#This Row],[*Vehicle Being Replaced]]="",max_remaining=0),0,max_remaining))</f>
        <v/>
      </c>
      <c r="G39" s="274"/>
      <c r="H39" s="269"/>
      <c r="I39" s="286"/>
      <c r="J39" s="280">
        <f>IF(tbl_ReplacewAlt_user[[#This Row],[*Fuel Economy of Replacement Vehicle (miles/GGE)]]="",0,tbl_ReplacewAlt_user[[#This Row],[*Number of Replacement Vehicles]]*tbl_ReplacewAlt_user[[#This Row],[*Average VMT of Replacement Vehicles (miles/year/ vehicle)]]/tbl_ReplacewAlt_user[[#This Row],[*Fuel Economy of Replacement Vehicle (miles/GGE)]])</f>
        <v>0</v>
      </c>
      <c r="K39" s="287">
        <f>IF(tbl_ReplacewAlt_user[[#This Row],[*Vehicle Being Replaced]]="",0,INDEX(tbl_ReplacedVeh_User[],MATCH(tbl_ReplacewAlt_user[[#This Row],[*Vehicle Being Replaced]],tbl_ReplacedVeh_User[*Description/unique ID],0),MATCH("Petroleum Used in Replaced Vehicle (GGE/year/ vehicle)",tbl_ReplacedVeh_User[#Headers],0))*tbl_ReplacewAlt_user[[#This Row],[*Number of Replacement Vehicles]])</f>
        <v>0</v>
      </c>
      <c r="L39" s="279">
        <f>tbl_ReplacewAlt_user[[#This Row],[Petroleum Used in Replaced Vehicles (GGE/year) '[see Replaced Vehicles table above for details']]]-tbl_ReplacewAlt_user[[#This Row],[Conventional Fuel Use (GGE)]]</f>
        <v>0</v>
      </c>
    </row>
  </sheetData>
  <sheetProtection formatColumns="0" formatRows="0" insertRows="0"/>
  <mergeCells count="8">
    <mergeCell ref="B32:L32"/>
    <mergeCell ref="B33:L33"/>
    <mergeCell ref="G12:J12"/>
    <mergeCell ref="B12:C12"/>
    <mergeCell ref="B2:J3"/>
    <mergeCell ref="B5:J10"/>
    <mergeCell ref="B15:M15"/>
    <mergeCell ref="B16:M16"/>
  </mergeCells>
  <conditionalFormatting sqref="M18:M26 F35:F39">
    <cfRule type="cellIs" dxfId="190" priority="13" operator="lessThan">
      <formula>0</formula>
    </cfRule>
  </conditionalFormatting>
  <conditionalFormatting sqref="D35:D39">
    <cfRule type="expression" dxfId="189" priority="10">
      <formula>OFFSET($D35,0,2)&lt;0</formula>
    </cfRule>
  </conditionalFormatting>
  <conditionalFormatting sqref="F18:F26">
    <cfRule type="expression" dxfId="188" priority="8">
      <formula>OR(OFFSET($F18,0,-1)="New LD vehicle",OFFSET($F18,0,-1)="New MD/HD vehicle")</formula>
    </cfRule>
  </conditionalFormatting>
  <conditionalFormatting sqref="G18:G26">
    <cfRule type="expression" dxfId="187" priority="7">
      <formula>OR(OFFSET($G18,0,-2)="New LD vehicle",OFFSET($G18,0,-2)="New MD/HD vehicle")</formula>
    </cfRule>
  </conditionalFormatting>
  <conditionalFormatting sqref="H18:H26">
    <cfRule type="expression" dxfId="186" priority="6">
      <formula>OR(OFFSET($H18,0,-3)="New LD vehicle",OFFSET($H18,0,-3)="New MD/HD vehicle")</formula>
    </cfRule>
  </conditionalFormatting>
  <conditionalFormatting sqref="I18:I26">
    <cfRule type="expression" dxfId="185" priority="5">
      <formula>OR(OFFSET($I18,0,-4)="New LD vehicle",OFFSET($I18,0,-4)="New MD/HD vehicle")</formula>
    </cfRule>
  </conditionalFormatting>
  <conditionalFormatting sqref="B18:E26">
    <cfRule type="cellIs" dxfId="184" priority="3" operator="equal">
      <formula>"New MD/HD vehicle"</formula>
    </cfRule>
    <cfRule type="cellIs" dxfId="183" priority="4" operator="equal">
      <formula>"New LD vehicle"</formula>
    </cfRule>
  </conditionalFormatting>
  <conditionalFormatting sqref="F12">
    <cfRule type="iconSet" priority="2">
      <iconSet iconSet="3Symbols2">
        <cfvo type="percent" val="0"/>
        <cfvo type="num" val="0"/>
        <cfvo type="num" val="1"/>
      </iconSet>
    </cfRule>
  </conditionalFormatting>
  <conditionalFormatting sqref="I35:I39">
    <cfRule type="expression" dxfId="182" priority="1">
      <formula>ISTEXT(I35)</formula>
    </cfRule>
  </conditionalFormatting>
  <dataValidations count="16">
    <dataValidation allowBlank="1" showInputMessage="1" showErrorMessage="1" prompt="To add a vehicle, start typing in the cell below the last entry in this column. A new row will be added automatically." sqref="B34" xr:uid="{00000000-0002-0000-0100-000004000000}"/>
    <dataValidation allowBlank="1" showInputMessage="1" showErrorMessage="1" prompt="Select from the dropdown list. If you are buying a new vehicle (not replacing a vehicle), select &quot;new HE LD vehicle&quot; or &quot;new M/HD vehicle.&quot;" sqref="D34" xr:uid="{00000000-0002-0000-0100-000006000000}"/>
    <dataValidation allowBlank="1" showInputMessage="1" showErrorMessage="1" prompt="1 if the vehicle is new (not a replacement). Blank if all vehicles of this make and model have been replaced" sqref="F34" xr:uid="{00000000-0002-0000-0100-000007000000}"/>
    <dataValidation allowBlank="1" showInputMessage="1" showErrorMessage="1" prompt="Median fuel economy values based on https://www.fueleconomy.gov/feg/download.shtml 2022 data file. Median FE values for shuttle/paratransit buses and special purpose vehicles are based on values from AFLEET 2020." sqref="I34" xr:uid="{00000000-0002-0000-0100-000009000000}"/>
    <dataValidation allowBlank="1" showInputMessage="1" showErrorMessage="1" prompt="This is the petroleum use for the replaced vehicles minus the petroleum use of the replacement vehicles." sqref="L34" xr:uid="{00000000-0002-0000-0100-00000A000000}"/>
    <dataValidation type="list" allowBlank="1" showInputMessage="1" showErrorMessage="1" sqref="H18:H26" xr:uid="{00000000-0002-0000-0100-00000E000000}">
      <formula1>Conv_Fuels_List</formula1>
    </dataValidation>
    <dataValidation allowBlank="1" showInputMessage="1" showErrorMessage="1" prompt="If you enter more replacement vehicles than the number you are replacing (i.e., vehicles you entered in the Replaced Vehicles Table above), the cell will be highlighted in yellow." sqref="E34" xr:uid="{31F871FC-4A24-45AB-80CC-0217E4132A51}"/>
    <dataValidation allowBlank="1" showInputMessage="1" showErrorMessage="1" prompt="Select from the drop down list" sqref="D17" xr:uid="{2FB4CE91-19B8-4FE2-A2FC-05CABC3DF89B}"/>
    <dataValidation type="list" allowBlank="1" showInputMessage="1" showErrorMessage="1" sqref="I18:I26" xr:uid="{B1216D0F-7C1C-41BD-92FA-EBCABAA03964}">
      <formula1>Replaced_Veh_MPG</formula1>
    </dataValidation>
    <dataValidation allowBlank="1" showInputMessage="1" showErrorMessage="1" prompt="Enter the model year the vehicle was retired. If the vehicle was retired in the current reporting year, enter the miles driven for the new replacement vehicle this year. In future years, use the full year VMT from the last year the vehicle was in service" sqref="E17" xr:uid="{2068AF11-A622-6E4F-B512-2DB1C61E17F7}"/>
    <dataValidation allowBlank="1" showInputMessage="1" showErrorMessage="1" prompt="To add a vehicle, start typing in the cell below the last entry in this column. A new row will be added automatically. Add sheet rows above row 28 if you need more space._x000a_Please use a unique name or ID for each row of replaced vehicles." sqref="B17" xr:uid="{31A88266-30CE-7A4F-A62F-42181C82F870}"/>
    <dataValidation type="list" allowBlank="1" showInputMessage="1" showErrorMessage="1" sqref="D19:D26 D18" xr:uid="{D2120F11-3B6E-8E4F-817A-EC93839D0F59}">
      <formula1>INDIRECT("TBL_Replaced_Veh_MPG[#Headers]")</formula1>
    </dataValidation>
    <dataValidation type="list" allowBlank="1" showInputMessage="1" showErrorMessage="1" sqref="C35:C39" xr:uid="{225FE5B9-9D44-4AF7-B40E-95800D793C4E}">
      <formula1>INDIRECT("TBL_Replacement_Veh_MPG[#Headers]")</formula1>
    </dataValidation>
    <dataValidation type="list" allowBlank="1" showInputMessage="1" showErrorMessage="1" sqref="D35:D39" xr:uid="{00000000-0002-0000-0100-000002000000}">
      <formula1>List_of_vehicles</formula1>
    </dataValidation>
    <dataValidation type="list" allowBlank="1" showInputMessage="1" showErrorMessage="1" prompt="Select from the list of fuel types" sqref="H35:H39" xr:uid="{AAED64FC-4B3C-420C-BAC2-8CF950B0DC00}">
      <formula1>Conv_Fuels_List</formula1>
    </dataValidation>
    <dataValidation type="list" allowBlank="1" showInputMessage="1" showErrorMessage="1" prompt="Select the blank option to enter the new vehicle FE value." sqref="I35:I39" xr:uid="{151F8294-4651-F14F-B5FE-F280168C6EE4}">
      <formula1>Replacement_veh_MPG</formula1>
    </dataValidation>
  </dataValidations>
  <pageMargins left="0.75" right="0.75" top="1" bottom="1" header="0.5" footer="0.5"/>
  <pageSetup orientation="portrait" horizontalDpi="4294967292" verticalDpi="4294967292"/>
  <tableParts count="2">
    <tablePart r:id="rId1"/>
    <tablePart r:id="rId2"/>
  </tableParts>
  <extLst>
    <ext xmlns:x14="http://schemas.microsoft.com/office/spreadsheetml/2009/9/main" uri="{CCE6A557-97BC-4b89-ADB6-D9C93CAAB3DF}">
      <x14:dataValidations xmlns:xm="http://schemas.microsoft.com/office/excel/2006/main" count="1">
        <x14:dataValidation type="whole" allowBlank="1" showInputMessage="1" showErrorMessage="1" error="The vehicle must be retired within 3 years prior to the current MY" prompt="Credit may be taken for 3 years of improved fuel economy resulting from replacing this vehicle" xr:uid="{32919B93-0134-2D46-8E76-FAEA43D05FCF}">
          <x14:formula1>
            <xm:f>Summary!$D$36-3</xm:f>
          </x14:formula1>
          <x14:formula2>
            <xm:f>Summary!$D$36</xm:f>
          </x14:formula2>
          <xm:sqref>E18:E26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dimension ref="A1:V21"/>
  <sheetViews>
    <sheetView showGridLines="0" workbookViewId="0">
      <selection activeCell="E26" sqref="E26"/>
    </sheetView>
  </sheetViews>
  <sheetFormatPr baseColWidth="10" defaultColWidth="10.1640625" defaultRowHeight="16"/>
  <cols>
    <col min="2" max="2" width="21.1640625" customWidth="1"/>
    <col min="3" max="3" width="28.83203125" customWidth="1"/>
    <col min="4" max="4" width="19.1640625" customWidth="1"/>
    <col min="5" max="5" width="12.5" customWidth="1"/>
    <col min="6" max="6" width="16.5" customWidth="1"/>
    <col min="7" max="7" width="20.33203125" customWidth="1"/>
    <col min="8" max="8" width="14.33203125" customWidth="1"/>
    <col min="9" max="9" width="18.5" customWidth="1"/>
    <col min="10" max="10" width="14.6640625" customWidth="1"/>
    <col min="11" max="11" width="14.33203125" customWidth="1"/>
    <col min="12" max="12" width="12.6640625" customWidth="1"/>
    <col min="13" max="13" width="20" customWidth="1"/>
    <col min="14" max="14" width="17.83203125" customWidth="1"/>
    <col min="15" max="15" width="15.6640625" customWidth="1"/>
    <col min="16" max="17" width="13.1640625" customWidth="1"/>
    <col min="18" max="18" width="14.1640625" customWidth="1"/>
    <col min="19" max="20" width="13.1640625" customWidth="1"/>
    <col min="21" max="21" width="13.5" customWidth="1"/>
    <col min="22" max="22" width="16.83203125" customWidth="1"/>
  </cols>
  <sheetData>
    <row r="1" spans="1:22" ht="24">
      <c r="A1" s="30"/>
      <c r="B1" s="35" t="s">
        <v>240</v>
      </c>
      <c r="C1" s="33"/>
      <c r="D1" s="33"/>
      <c r="E1" s="33"/>
      <c r="F1" s="30"/>
      <c r="G1" s="30"/>
      <c r="H1" s="30"/>
      <c r="I1" s="30"/>
      <c r="J1" s="30"/>
      <c r="K1" s="30"/>
      <c r="L1" s="30"/>
      <c r="M1" s="30"/>
      <c r="N1" s="30"/>
      <c r="U1" s="30"/>
      <c r="V1" s="30"/>
    </row>
    <row r="2" spans="1:22" ht="16" customHeight="1">
      <c r="A2" s="30"/>
      <c r="B2" s="327" t="s">
        <v>309</v>
      </c>
      <c r="C2" s="327"/>
      <c r="D2" s="327"/>
      <c r="E2" s="327"/>
      <c r="F2" s="327"/>
      <c r="G2" s="327"/>
      <c r="H2" s="327"/>
      <c r="I2" s="327"/>
      <c r="J2" s="113"/>
      <c r="K2" s="113"/>
      <c r="L2" s="113"/>
      <c r="M2" s="113"/>
      <c r="N2" s="34"/>
      <c r="O2" s="34"/>
      <c r="P2" s="34"/>
      <c r="Q2" s="34"/>
      <c r="R2" s="34"/>
      <c r="S2" s="34"/>
      <c r="T2" s="34"/>
      <c r="U2" s="34"/>
      <c r="V2" s="30"/>
    </row>
    <row r="3" spans="1:22" ht="16" customHeight="1">
      <c r="A3" s="30"/>
      <c r="B3" s="327"/>
      <c r="C3" s="327"/>
      <c r="D3" s="327"/>
      <c r="E3" s="327"/>
      <c r="F3" s="327"/>
      <c r="G3" s="327"/>
      <c r="H3" s="327"/>
      <c r="I3" s="327"/>
      <c r="J3" s="112"/>
      <c r="K3" s="112"/>
      <c r="L3" s="112"/>
      <c r="M3" s="112"/>
      <c r="N3" s="112"/>
      <c r="O3" s="112"/>
      <c r="P3" s="112"/>
      <c r="Q3" s="112"/>
      <c r="R3" s="112"/>
      <c r="S3" s="112"/>
      <c r="T3" s="112"/>
      <c r="U3" s="112"/>
      <c r="V3" s="30"/>
    </row>
    <row r="4" spans="1:22" ht="16" customHeight="1">
      <c r="A4" s="30"/>
      <c r="B4" s="400" t="s">
        <v>297</v>
      </c>
      <c r="C4" s="400"/>
      <c r="D4" s="400"/>
      <c r="E4" s="400"/>
      <c r="F4" s="400"/>
      <c r="G4" s="400"/>
      <c r="H4" s="400"/>
      <c r="I4" s="400"/>
      <c r="J4" s="112"/>
      <c r="K4" s="112"/>
      <c r="L4" s="112"/>
      <c r="M4" s="112"/>
      <c r="N4" s="112"/>
      <c r="O4" s="112"/>
      <c r="P4" s="112"/>
      <c r="Q4" s="112"/>
      <c r="R4" s="112"/>
      <c r="S4" s="112"/>
      <c r="T4" s="112"/>
      <c r="U4" s="112"/>
      <c r="V4" s="30"/>
    </row>
    <row r="5" spans="1:22" ht="16" customHeight="1">
      <c r="A5" s="30"/>
      <c r="B5" s="400"/>
      <c r="C5" s="400"/>
      <c r="D5" s="400"/>
      <c r="E5" s="400"/>
      <c r="F5" s="400"/>
      <c r="G5" s="400"/>
      <c r="H5" s="400"/>
      <c r="I5" s="400"/>
      <c r="J5" s="112"/>
      <c r="K5" s="112"/>
      <c r="L5" s="112"/>
      <c r="M5" s="112"/>
      <c r="N5" s="112"/>
      <c r="O5" s="112"/>
      <c r="P5" s="112"/>
      <c r="Q5" s="112"/>
      <c r="R5" s="112"/>
      <c r="S5" s="112"/>
      <c r="T5" s="112"/>
      <c r="U5" s="112"/>
      <c r="V5" s="30"/>
    </row>
    <row r="6" spans="1:22" ht="16" customHeight="1">
      <c r="A6" s="30"/>
      <c r="B6" s="400"/>
      <c r="C6" s="400"/>
      <c r="D6" s="400"/>
      <c r="E6" s="400"/>
      <c r="F6" s="400"/>
      <c r="G6" s="400"/>
      <c r="H6" s="400"/>
      <c r="I6" s="400"/>
      <c r="J6" s="112"/>
      <c r="K6" s="112"/>
      <c r="L6" s="112"/>
      <c r="M6" s="112"/>
      <c r="N6" s="112"/>
      <c r="O6" s="112"/>
      <c r="P6" s="112"/>
      <c r="Q6" s="112"/>
      <c r="R6" s="112"/>
      <c r="S6" s="112"/>
      <c r="T6" s="112"/>
      <c r="U6" s="112"/>
      <c r="V6" s="30"/>
    </row>
    <row r="7" spans="1:22" ht="16" customHeight="1">
      <c r="A7" s="30"/>
      <c r="B7" s="400"/>
      <c r="C7" s="400"/>
      <c r="D7" s="400"/>
      <c r="E7" s="400"/>
      <c r="F7" s="400"/>
      <c r="G7" s="400"/>
      <c r="H7" s="400"/>
      <c r="I7" s="400"/>
      <c r="J7" s="112"/>
      <c r="K7" s="112"/>
      <c r="L7" s="112"/>
      <c r="M7" s="112"/>
      <c r="N7" s="112"/>
      <c r="O7" s="112"/>
      <c r="P7" s="112"/>
      <c r="Q7" s="112"/>
      <c r="R7" s="112"/>
      <c r="S7" s="112"/>
      <c r="T7" s="112"/>
      <c r="U7" s="112"/>
      <c r="V7" s="30"/>
    </row>
    <row r="8" spans="1:22" ht="16" customHeight="1">
      <c r="A8" s="30"/>
      <c r="B8" s="400"/>
      <c r="C8" s="400"/>
      <c r="D8" s="400"/>
      <c r="E8" s="400"/>
      <c r="F8" s="400"/>
      <c r="G8" s="400"/>
      <c r="H8" s="400"/>
      <c r="I8" s="400"/>
      <c r="J8" s="112"/>
      <c r="K8" s="112"/>
      <c r="L8" s="112"/>
      <c r="M8" s="112"/>
      <c r="N8" s="112"/>
      <c r="O8" s="112"/>
      <c r="P8" s="112"/>
      <c r="Q8" s="112"/>
      <c r="R8" s="112"/>
      <c r="S8" s="112"/>
      <c r="T8" s="112"/>
      <c r="U8" s="112"/>
      <c r="V8" s="30"/>
    </row>
    <row r="9" spans="1:22">
      <c r="A9" s="30"/>
      <c r="G9" s="112"/>
      <c r="H9" s="112"/>
      <c r="I9" s="112"/>
      <c r="J9" s="112"/>
      <c r="K9" s="112"/>
      <c r="L9" s="112"/>
      <c r="M9" s="112"/>
      <c r="N9" s="112"/>
      <c r="O9" s="112"/>
      <c r="P9" s="112"/>
      <c r="Q9" s="112"/>
      <c r="R9" s="112"/>
      <c r="S9" s="112"/>
      <c r="T9" s="112"/>
      <c r="U9" s="112"/>
      <c r="V9" s="30"/>
    </row>
    <row r="10" spans="1:22" ht="37" customHeight="1">
      <c r="A10" s="30"/>
      <c r="B10" s="399" t="s">
        <v>164</v>
      </c>
      <c r="C10" s="399"/>
      <c r="D10" s="145">
        <f>SUM(tbl_ReplacewAlt_user16[Maximum Credit (GGE)
'[Maximum of column K or column M - column L']])</f>
        <v>0</v>
      </c>
      <c r="E10" s="40" t="s">
        <v>54</v>
      </c>
      <c r="G10" s="30"/>
      <c r="H10" s="30"/>
      <c r="I10" s="30"/>
      <c r="J10" s="30"/>
      <c r="K10" s="30"/>
      <c r="L10" s="30"/>
      <c r="M10" s="34"/>
      <c r="N10" s="34"/>
      <c r="U10" s="30"/>
      <c r="V10" s="30"/>
    </row>
    <row r="11" spans="1:22">
      <c r="A11" s="30"/>
      <c r="C11" s="55"/>
      <c r="D11" s="55"/>
      <c r="E11" s="55"/>
      <c r="F11" s="55"/>
      <c r="G11" s="30"/>
      <c r="H11" s="30"/>
      <c r="I11" s="30"/>
      <c r="J11" s="30"/>
      <c r="K11" s="30"/>
      <c r="L11" s="30"/>
      <c r="M11" s="34"/>
      <c r="N11" s="34"/>
      <c r="U11" s="30"/>
      <c r="V11" s="30"/>
    </row>
    <row r="12" spans="1:22" ht="17" thickBot="1">
      <c r="B12" s="140" t="s">
        <v>286</v>
      </c>
      <c r="C12" s="141"/>
      <c r="D12" s="141"/>
      <c r="E12" s="141"/>
      <c r="F12" s="141"/>
      <c r="G12" s="142"/>
      <c r="H12" s="142"/>
      <c r="I12" s="142"/>
      <c r="J12" s="142"/>
      <c r="K12" s="142"/>
      <c r="L12" s="142"/>
      <c r="M12" s="150"/>
    </row>
    <row r="13" spans="1:22" ht="20" thickBot="1">
      <c r="B13" s="86" t="s">
        <v>236</v>
      </c>
      <c r="C13" s="87"/>
      <c r="D13" s="87"/>
      <c r="E13" s="87"/>
      <c r="F13" s="87"/>
      <c r="G13" s="87"/>
      <c r="H13" s="87"/>
      <c r="I13" s="87"/>
      <c r="J13" s="87"/>
      <c r="K13" s="87"/>
      <c r="L13" s="87"/>
      <c r="M13" s="440"/>
    </row>
    <row r="14" spans="1:22" ht="138" customHeight="1">
      <c r="B14" s="36" t="s">
        <v>237</v>
      </c>
      <c r="C14" s="36" t="s">
        <v>279</v>
      </c>
      <c r="D14" s="36" t="s">
        <v>431</v>
      </c>
      <c r="E14" s="36" t="s">
        <v>238</v>
      </c>
      <c r="F14" s="36" t="s">
        <v>239</v>
      </c>
      <c r="G14" s="37" t="s">
        <v>426</v>
      </c>
      <c r="H14" s="38" t="s">
        <v>271</v>
      </c>
      <c r="I14" s="38" t="s">
        <v>281</v>
      </c>
      <c r="J14" s="38" t="s">
        <v>77</v>
      </c>
      <c r="K14" s="39" t="s">
        <v>78</v>
      </c>
      <c r="L14" s="39" t="s">
        <v>269</v>
      </c>
      <c r="M14" s="38" t="s">
        <v>270</v>
      </c>
    </row>
    <row r="15" spans="1:22">
      <c r="B15" s="49"/>
      <c r="C15" s="221"/>
      <c r="D15" s="151">
        <f>IFERROR(INDEX(TBL_AFLEET_GGE[],MATCH(tbl_ReplacewAlt_user16[[#This Row],[*Conventional vehicle category closest in size and weight to the new/existing AFV (select from list)]],TBL_AFLEET_GGE[Vocation],0),MATCH("Gasoline",TBL_AFLEET_GGE[#Headers],0)),0)</f>
        <v>0</v>
      </c>
      <c r="E15" s="41"/>
      <c r="F15" s="41"/>
      <c r="G15" s="222"/>
      <c r="H15" s="223"/>
      <c r="I15" s="224"/>
      <c r="J15" s="154" t="str">
        <f>IF(tbl_ReplacewAlt_user16[[#This Row],[*Fuel Economy of AFV (miles/GGE)]]="","",IF(tbl_ReplacewAlt_user16[[#This Row],[*Fuel Type for AFV]]="Plug-in Hybrid",tbl_ReplacewAlt_user16[[#This Row],[*Number of Alternative Fuel Vehicles]]*tbl_ReplacewAlt_user16[[#This Row],[*Average VMT of Vehicles (miles/year/ vehicle)]]*tbl_ReplacewAlt_user16[[#This Row],[*Percent of total fuel use that is alternative fuel]]/79.6,tbl_ReplacewAlt_user16[[#This Row],[*Number of Alternative Fuel Vehicles]]*tbl_ReplacewAlt_user16[[#This Row],[*Average VMT of Vehicles (miles/year/ vehicle)]]*tbl_ReplacewAlt_user16[[#This Row],[*Percent of total fuel use that is alternative fuel]]/tbl_ReplacewAlt_user16[[#This Row],[*Fuel Economy of AFV (miles/GGE)]]))</f>
        <v/>
      </c>
      <c r="K15" s="154">
        <f>IF(tbl_ReplacewAlt_user16[[#This Row],[*Fuel Economy of AFV (miles/GGE)]]="",0,tbl_ReplacewAlt_user16[[#This Row],[*Number of Alternative Fuel Vehicles]]*tbl_ReplacewAlt_user16[[#This Row],[*Average VMT of Vehicles (miles/year/ vehicle)]]*(1-tbl_ReplacewAlt_user16[[#This Row],[*Percent of total fuel use that is alternative fuel]])/tbl_ReplacewAlt_user16[[#This Row],[*Fuel Economy of AFV (miles/GGE)]])</f>
        <v>0</v>
      </c>
      <c r="L15" s="154">
        <f>IF(tbl_ReplacewAlt_user16[[#This Row],[Fuel Economy of conventional vehicles in the category selected (miles/GGE)]]=0,0,tbl_ReplacewAlt_user16[[#This Row],[*Number of Alternative Fuel Vehicles]]*tbl_ReplacewAlt_user16[[#This Row],[*Average VMT of Vehicles (miles/year/ vehicle)]]/tbl_ReplacewAlt_user16[[#This Row],[Fuel Economy of conventional vehicles in the category selected (miles/GGE)]])</f>
        <v>0</v>
      </c>
      <c r="M15" s="320">
        <f>IF(OR(ISBLANK(tbl_ReplacewAlt_user16[[#This Row],[*Make and Model of Alternative Fuel Vehicle]]),ISBLANK(tbl_ReplacewAlt_user16[[#This Row],[*Conventional vehicle category closest in size and weight to the new/existing AFV (select from list)]])),0,MAX(tbl_ReplacewAlt_user16[[#This Row],[Alternative Fuel Use (GGE)]],tbl_ReplacewAlt_user16[[#This Row],[Petroleum Used in Typical Conventional Vehicle of this Size]]-tbl_ReplacewAlt_user16[[#This Row],[Conventional Fuel Use (GGE)]]))</f>
        <v>0</v>
      </c>
    </row>
    <row r="16" spans="1:22">
      <c r="B16" s="50"/>
      <c r="C16" s="215"/>
      <c r="D16" s="152">
        <f>IFERROR(INDEX(TBL_AFLEET_GGE[],MATCH(tbl_ReplacewAlt_user16[[#This Row],[*Conventional vehicle category closest in size and weight to the new/existing AFV (select from list)]],TBL_AFLEET_GGE[Vocation],0),MATCH("Gasoline",TBL_AFLEET_GGE[#Headers],0)),0)</f>
        <v>0</v>
      </c>
      <c r="E16" s="51"/>
      <c r="F16" s="51"/>
      <c r="G16" s="218"/>
      <c r="H16" s="225"/>
      <c r="I16" s="219"/>
      <c r="J16" s="146" t="str">
        <f>IF(tbl_ReplacewAlt_user16[[#This Row],[*Fuel Economy of AFV (miles/GGE)]]="","",IF(tbl_ReplacewAlt_user16[[#This Row],[*Fuel Type for AFV]]="Plug-in Hybrid",tbl_ReplacewAlt_user16[[#This Row],[*Number of Alternative Fuel Vehicles]]*tbl_ReplacewAlt_user16[[#This Row],[*Average VMT of Vehicles (miles/year/ vehicle)]]*tbl_ReplacewAlt_user16[[#This Row],[*Percent of total fuel use that is alternative fuel]]/79.6,tbl_ReplacewAlt_user16[[#This Row],[*Number of Alternative Fuel Vehicles]]*tbl_ReplacewAlt_user16[[#This Row],[*Average VMT of Vehicles (miles/year/ vehicle)]]*tbl_ReplacewAlt_user16[[#This Row],[*Percent of total fuel use that is alternative fuel]]/tbl_ReplacewAlt_user16[[#This Row],[*Fuel Economy of AFV (miles/GGE)]]))</f>
        <v/>
      </c>
      <c r="K16" s="146">
        <f>IF(tbl_ReplacewAlt_user16[[#This Row],[*Fuel Economy of AFV (miles/GGE)]]="",0,tbl_ReplacewAlt_user16[[#This Row],[*Number of Alternative Fuel Vehicles]]*tbl_ReplacewAlt_user16[[#This Row],[*Average VMT of Vehicles (miles/year/ vehicle)]]*(1-tbl_ReplacewAlt_user16[[#This Row],[*Percent of total fuel use that is alternative fuel]])/tbl_ReplacewAlt_user16[[#This Row],[*Fuel Economy of AFV (miles/GGE)]])</f>
        <v>0</v>
      </c>
      <c r="L16" s="146">
        <f>IF(tbl_ReplacewAlt_user16[[#This Row],[Fuel Economy of conventional vehicles in the category selected (miles/GGE)]]=0,0,tbl_ReplacewAlt_user16[[#This Row],[*Number of Alternative Fuel Vehicles]]*tbl_ReplacewAlt_user16[[#This Row],[*Average VMT of Vehicles (miles/year/ vehicle)]]/tbl_ReplacewAlt_user16[[#This Row],[Fuel Economy of conventional vehicles in the category selected (miles/GGE)]])</f>
        <v>0</v>
      </c>
      <c r="M16" s="320">
        <f>IF(OR(ISBLANK(tbl_ReplacewAlt_user16[[#This Row],[*Make and Model of Alternative Fuel Vehicle]]),ISBLANK(tbl_ReplacewAlt_user16[[#This Row],[*Conventional vehicle category closest in size and weight to the new/existing AFV (select from list)]])),0,MAX(tbl_ReplacewAlt_user16[[#This Row],[Alternative Fuel Use (GGE)]],tbl_ReplacewAlt_user16[[#This Row],[Petroleum Used in Typical Conventional Vehicle of this Size]]-tbl_ReplacewAlt_user16[[#This Row],[Conventional Fuel Use (GGE)]]))</f>
        <v>0</v>
      </c>
    </row>
    <row r="17" spans="2:13">
      <c r="B17" s="50"/>
      <c r="C17" s="215"/>
      <c r="D17" s="152">
        <f>IFERROR(INDEX(TBL_AFLEET_GGE[],MATCH(tbl_ReplacewAlt_user16[[#This Row],[*Conventional vehicle category closest in size and weight to the new/existing AFV (select from list)]],TBL_AFLEET_GGE[Vocation],0),MATCH("Gasoline",TBL_AFLEET_GGE[#Headers],0)),0)</f>
        <v>0</v>
      </c>
      <c r="E17" s="51"/>
      <c r="F17" s="51"/>
      <c r="G17" s="218"/>
      <c r="H17" s="225"/>
      <c r="I17" s="219"/>
      <c r="J17" s="146" t="str">
        <f>IF(tbl_ReplacewAlt_user16[[#This Row],[*Fuel Economy of AFV (miles/GGE)]]="","",IF(tbl_ReplacewAlt_user16[[#This Row],[*Fuel Type for AFV]]="Plug-in Hybrid",tbl_ReplacewAlt_user16[[#This Row],[*Number of Alternative Fuel Vehicles]]*tbl_ReplacewAlt_user16[[#This Row],[*Average VMT of Vehicles (miles/year/ vehicle)]]*tbl_ReplacewAlt_user16[[#This Row],[*Percent of total fuel use that is alternative fuel]]/79.6,tbl_ReplacewAlt_user16[[#This Row],[*Number of Alternative Fuel Vehicles]]*tbl_ReplacewAlt_user16[[#This Row],[*Average VMT of Vehicles (miles/year/ vehicle)]]*tbl_ReplacewAlt_user16[[#This Row],[*Percent of total fuel use that is alternative fuel]]/tbl_ReplacewAlt_user16[[#This Row],[*Fuel Economy of AFV (miles/GGE)]]))</f>
        <v/>
      </c>
      <c r="K17" s="146">
        <f>IF(tbl_ReplacewAlt_user16[[#This Row],[*Fuel Economy of AFV (miles/GGE)]]="",0,tbl_ReplacewAlt_user16[[#This Row],[*Number of Alternative Fuel Vehicles]]*tbl_ReplacewAlt_user16[[#This Row],[*Average VMT of Vehicles (miles/year/ vehicle)]]*(1-tbl_ReplacewAlt_user16[[#This Row],[*Percent of total fuel use that is alternative fuel]])/tbl_ReplacewAlt_user16[[#This Row],[*Fuel Economy of AFV (miles/GGE)]])</f>
        <v>0</v>
      </c>
      <c r="L17" s="146">
        <f>IF(tbl_ReplacewAlt_user16[[#This Row],[Fuel Economy of conventional vehicles in the category selected (miles/GGE)]]=0,0,tbl_ReplacewAlt_user16[[#This Row],[*Number of Alternative Fuel Vehicles]]*tbl_ReplacewAlt_user16[[#This Row],[*Average VMT of Vehicles (miles/year/ vehicle)]]/tbl_ReplacewAlt_user16[[#This Row],[Fuel Economy of conventional vehicles in the category selected (miles/GGE)]])</f>
        <v>0</v>
      </c>
      <c r="M17" s="320">
        <f>IF(OR(ISBLANK(tbl_ReplacewAlt_user16[[#This Row],[*Make and Model of Alternative Fuel Vehicle]]),ISBLANK(tbl_ReplacewAlt_user16[[#This Row],[*Conventional vehicle category closest in size and weight to the new/existing AFV (select from list)]])),0,MAX(tbl_ReplacewAlt_user16[[#This Row],[Alternative Fuel Use (GGE)]],tbl_ReplacewAlt_user16[[#This Row],[Petroleum Used in Typical Conventional Vehicle of this Size]]-tbl_ReplacewAlt_user16[[#This Row],[Conventional Fuel Use (GGE)]]))</f>
        <v>0</v>
      </c>
    </row>
    <row r="18" spans="2:13">
      <c r="B18" s="52"/>
      <c r="C18" s="216"/>
      <c r="D18" s="153">
        <f>IFERROR(INDEX(TBL_AFLEET_GGE[],MATCH(tbl_ReplacewAlt_user16[[#This Row],[*Conventional vehicle category closest in size and weight to the new/existing AFV (select from list)]],TBL_AFLEET_GGE[Vocation],0),MATCH("Gasoline",TBL_AFLEET_GGE[#Headers],0)),0)</f>
        <v>0</v>
      </c>
      <c r="E18" s="53"/>
      <c r="F18" s="53"/>
      <c r="G18" s="217"/>
      <c r="H18" s="226"/>
      <c r="I18" s="220"/>
      <c r="J18" s="147" t="str">
        <f>IF(tbl_ReplacewAlt_user16[[#This Row],[*Fuel Economy of AFV (miles/GGE)]]="","",IF(tbl_ReplacewAlt_user16[[#This Row],[*Fuel Type for AFV]]="Plug-in Hybrid",tbl_ReplacewAlt_user16[[#This Row],[*Number of Alternative Fuel Vehicles]]*tbl_ReplacewAlt_user16[[#This Row],[*Average VMT of Vehicles (miles/year/ vehicle)]]*tbl_ReplacewAlt_user16[[#This Row],[*Percent of total fuel use that is alternative fuel]]/79.6,tbl_ReplacewAlt_user16[[#This Row],[*Number of Alternative Fuel Vehicles]]*tbl_ReplacewAlt_user16[[#This Row],[*Average VMT of Vehicles (miles/year/ vehicle)]]*tbl_ReplacewAlt_user16[[#This Row],[*Percent of total fuel use that is alternative fuel]]/tbl_ReplacewAlt_user16[[#This Row],[*Fuel Economy of AFV (miles/GGE)]]))</f>
        <v/>
      </c>
      <c r="K18" s="147">
        <f>IF(tbl_ReplacewAlt_user16[[#This Row],[*Fuel Economy of AFV (miles/GGE)]]="",0,tbl_ReplacewAlt_user16[[#This Row],[*Number of Alternative Fuel Vehicles]]*tbl_ReplacewAlt_user16[[#This Row],[*Average VMT of Vehicles (miles/year/ vehicle)]]*(1-tbl_ReplacewAlt_user16[[#This Row],[*Percent of total fuel use that is alternative fuel]])/tbl_ReplacewAlt_user16[[#This Row],[*Fuel Economy of AFV (miles/GGE)]])</f>
        <v>0</v>
      </c>
      <c r="L18" s="147">
        <f>IF(tbl_ReplacewAlt_user16[[#This Row],[Fuel Economy of conventional vehicles in the category selected (miles/GGE)]]=0,0,tbl_ReplacewAlt_user16[[#This Row],[*Number of Alternative Fuel Vehicles]]*tbl_ReplacewAlt_user16[[#This Row],[*Average VMT of Vehicles (miles/year/ vehicle)]]/tbl_ReplacewAlt_user16[[#This Row],[Fuel Economy of conventional vehicles in the category selected (miles/GGE)]])</f>
        <v>0</v>
      </c>
      <c r="M18" s="321">
        <f>IF(OR(ISBLANK(tbl_ReplacewAlt_user16[[#This Row],[*Make and Model of Alternative Fuel Vehicle]]),ISBLANK(tbl_ReplacewAlt_user16[[#This Row],[*Conventional vehicle category closest in size and weight to the new/existing AFV (select from list)]])),0,MAX(tbl_ReplacewAlt_user16[[#This Row],[Alternative Fuel Use (GGE)]],tbl_ReplacewAlt_user16[[#This Row],[Petroleum Used in Typical Conventional Vehicle of this Size]]-tbl_ReplacewAlt_user16[[#This Row],[Conventional Fuel Use (GGE)]]))</f>
        <v>0</v>
      </c>
    </row>
    <row r="19" spans="2:13">
      <c r="B19" s="50"/>
      <c r="C19" s="216"/>
      <c r="D19" s="153">
        <f>IFERROR(INDEX(TBL_AFLEET_GGE[],MATCH(tbl_ReplacewAlt_user16[[#This Row],[*Conventional vehicle category closest in size and weight to the new/existing AFV (select from list)]],TBL_AFLEET_GGE[Vocation],0),MATCH("Gasoline",TBL_AFLEET_GGE[#Headers],0)),0)</f>
        <v>0</v>
      </c>
      <c r="E19" s="53"/>
      <c r="F19" s="53"/>
      <c r="G19" s="217"/>
      <c r="H19" s="227"/>
      <c r="I19" s="220"/>
      <c r="J19" s="147" t="str">
        <f>IF(tbl_ReplacewAlt_user16[[#This Row],[*Fuel Economy of AFV (miles/GGE)]]="","",IF(tbl_ReplacewAlt_user16[[#This Row],[*Fuel Type for AFV]]="Plug-in Hybrid",tbl_ReplacewAlt_user16[[#This Row],[*Number of Alternative Fuel Vehicles]]*tbl_ReplacewAlt_user16[[#This Row],[*Average VMT of Vehicles (miles/year/ vehicle)]]*tbl_ReplacewAlt_user16[[#This Row],[*Percent of total fuel use that is alternative fuel]]/79.6,tbl_ReplacewAlt_user16[[#This Row],[*Number of Alternative Fuel Vehicles]]*tbl_ReplacewAlt_user16[[#This Row],[*Average VMT of Vehicles (miles/year/ vehicle)]]*tbl_ReplacewAlt_user16[[#This Row],[*Percent of total fuel use that is alternative fuel]]/tbl_ReplacewAlt_user16[[#This Row],[*Fuel Economy of AFV (miles/GGE)]]))</f>
        <v/>
      </c>
      <c r="K19" s="147">
        <f>IF(tbl_ReplacewAlt_user16[[#This Row],[*Fuel Economy of AFV (miles/GGE)]]="",0,tbl_ReplacewAlt_user16[[#This Row],[*Number of Alternative Fuel Vehicles]]*tbl_ReplacewAlt_user16[[#This Row],[*Average VMT of Vehicles (miles/year/ vehicle)]]*(1-tbl_ReplacewAlt_user16[[#This Row],[*Percent of total fuel use that is alternative fuel]])/tbl_ReplacewAlt_user16[[#This Row],[*Fuel Economy of AFV (miles/GGE)]])</f>
        <v>0</v>
      </c>
      <c r="L19" s="147">
        <f>IF(tbl_ReplacewAlt_user16[[#This Row],[Fuel Economy of conventional vehicles in the category selected (miles/GGE)]]=0,0,tbl_ReplacewAlt_user16[[#This Row],[*Number of Alternative Fuel Vehicles]]*tbl_ReplacewAlt_user16[[#This Row],[*Average VMT of Vehicles (miles/year/ vehicle)]]/tbl_ReplacewAlt_user16[[#This Row],[Fuel Economy of conventional vehicles in the category selected (miles/GGE)]])</f>
        <v>0</v>
      </c>
      <c r="M19" s="322">
        <f>IF(OR(ISBLANK(tbl_ReplacewAlt_user16[[#This Row],[*Make and Model of Alternative Fuel Vehicle]]),ISBLANK(tbl_ReplacewAlt_user16[[#This Row],[*Conventional vehicle category closest in size and weight to the new/existing AFV (select from list)]])),0,MAX(tbl_ReplacewAlt_user16[[#This Row],[Alternative Fuel Use (GGE)]],tbl_ReplacewAlt_user16[[#This Row],[Petroleum Used in Typical Conventional Vehicle of this Size]]-tbl_ReplacewAlt_user16[[#This Row],[Conventional Fuel Use (GGE)]]))</f>
        <v>0</v>
      </c>
    </row>
    <row r="20" spans="2:13">
      <c r="B20" s="52"/>
      <c r="C20" s="216"/>
      <c r="D20" s="153">
        <f>IFERROR(INDEX(TBL_AFLEET_GGE[],MATCH(tbl_ReplacewAlt_user16[[#This Row],[*Conventional vehicle category closest in size and weight to the new/existing AFV (select from list)]],TBL_AFLEET_GGE[Vocation],0),MATCH("Gasoline",TBL_AFLEET_GGE[#Headers],0)),0)</f>
        <v>0</v>
      </c>
      <c r="E20" s="53"/>
      <c r="F20" s="53"/>
      <c r="G20" s="217"/>
      <c r="H20" s="228"/>
      <c r="I20" s="220"/>
      <c r="J20" s="147" t="str">
        <f>IF(tbl_ReplacewAlt_user16[[#This Row],[*Fuel Economy of AFV (miles/GGE)]]="","",IF(tbl_ReplacewAlt_user16[[#This Row],[*Fuel Type for AFV]]="Plug-in Hybrid",tbl_ReplacewAlt_user16[[#This Row],[*Number of Alternative Fuel Vehicles]]*tbl_ReplacewAlt_user16[[#This Row],[*Average VMT of Vehicles (miles/year/ vehicle)]]*tbl_ReplacewAlt_user16[[#This Row],[*Percent of total fuel use that is alternative fuel]]/79.6,tbl_ReplacewAlt_user16[[#This Row],[*Number of Alternative Fuel Vehicles]]*tbl_ReplacewAlt_user16[[#This Row],[*Average VMT of Vehicles (miles/year/ vehicle)]]*tbl_ReplacewAlt_user16[[#This Row],[*Percent of total fuel use that is alternative fuel]]/tbl_ReplacewAlt_user16[[#This Row],[*Fuel Economy of AFV (miles/GGE)]]))</f>
        <v/>
      </c>
      <c r="K20" s="147">
        <f>IF(tbl_ReplacewAlt_user16[[#This Row],[*Fuel Economy of AFV (miles/GGE)]]="",0,tbl_ReplacewAlt_user16[[#This Row],[*Number of Alternative Fuel Vehicles]]*tbl_ReplacewAlt_user16[[#This Row],[*Average VMT of Vehicles (miles/year/ vehicle)]]*(1-tbl_ReplacewAlt_user16[[#This Row],[*Percent of total fuel use that is alternative fuel]])/tbl_ReplacewAlt_user16[[#This Row],[*Fuel Economy of AFV (miles/GGE)]])</f>
        <v>0</v>
      </c>
      <c r="L20" s="147">
        <f>IF(tbl_ReplacewAlt_user16[[#This Row],[Fuel Economy of conventional vehicles in the category selected (miles/GGE)]]=0,0,tbl_ReplacewAlt_user16[[#This Row],[*Number of Alternative Fuel Vehicles]]*tbl_ReplacewAlt_user16[[#This Row],[*Average VMT of Vehicles (miles/year/ vehicle)]]/tbl_ReplacewAlt_user16[[#This Row],[Fuel Economy of conventional vehicles in the category selected (miles/GGE)]])</f>
        <v>0</v>
      </c>
      <c r="M20" s="323">
        <f>IF(OR(ISBLANK(tbl_ReplacewAlt_user16[[#This Row],[*Make and Model of Alternative Fuel Vehicle]]),ISBLANK(tbl_ReplacewAlt_user16[[#This Row],[*Conventional vehicle category closest in size and weight to the new/existing AFV (select from list)]])),0,MAX(tbl_ReplacewAlt_user16[[#This Row],[Alternative Fuel Use (GGE)]],tbl_ReplacewAlt_user16[[#This Row],[Petroleum Used in Typical Conventional Vehicle of this Size]]-tbl_ReplacewAlt_user16[[#This Row],[Conventional Fuel Use (GGE)]]))</f>
        <v>0</v>
      </c>
    </row>
    <row r="21" spans="2:13">
      <c r="B21" s="52"/>
      <c r="C21" s="216"/>
      <c r="D21" s="153">
        <f>IFERROR(INDEX(TBL_AFLEET_GGE[],MATCH(tbl_ReplacewAlt_user16[[#This Row],[*Conventional vehicle category closest in size and weight to the new/existing AFV (select from list)]],TBL_AFLEET_GGE[Vocation],0),MATCH("Gasoline",TBL_AFLEET_GGE[#Headers],0)),0)</f>
        <v>0</v>
      </c>
      <c r="E21" s="53"/>
      <c r="F21" s="53"/>
      <c r="G21" s="217"/>
      <c r="H21" s="229"/>
      <c r="I21" s="220"/>
      <c r="J21" s="148" t="str">
        <f>IF(tbl_ReplacewAlt_user16[[#This Row],[*Fuel Economy of AFV (miles/GGE)]]="","",IF(tbl_ReplacewAlt_user16[[#This Row],[*Fuel Type for AFV]]="Plug-in Hybrid",tbl_ReplacewAlt_user16[[#This Row],[*Number of Alternative Fuel Vehicles]]*tbl_ReplacewAlt_user16[[#This Row],[*Average VMT of Vehicles (miles/year/ vehicle)]]*tbl_ReplacewAlt_user16[[#This Row],[*Percent of total fuel use that is alternative fuel]]/79.6,tbl_ReplacewAlt_user16[[#This Row],[*Number of Alternative Fuel Vehicles]]*tbl_ReplacewAlt_user16[[#This Row],[*Average VMT of Vehicles (miles/year/ vehicle)]]*tbl_ReplacewAlt_user16[[#This Row],[*Percent of total fuel use that is alternative fuel]]/tbl_ReplacewAlt_user16[[#This Row],[*Fuel Economy of AFV (miles/GGE)]]))</f>
        <v/>
      </c>
      <c r="K21" s="148">
        <f>IF(tbl_ReplacewAlt_user16[[#This Row],[*Fuel Economy of AFV (miles/GGE)]]="",0,tbl_ReplacewAlt_user16[[#This Row],[*Number of Alternative Fuel Vehicles]]*tbl_ReplacewAlt_user16[[#This Row],[*Average VMT of Vehicles (miles/year/ vehicle)]]*(1-tbl_ReplacewAlt_user16[[#This Row],[*Percent of total fuel use that is alternative fuel]])/tbl_ReplacewAlt_user16[[#This Row],[*Fuel Economy of AFV (miles/GGE)]])</f>
        <v>0</v>
      </c>
      <c r="L21" s="148">
        <f>IF(tbl_ReplacewAlt_user16[[#This Row],[Fuel Economy of conventional vehicles in the category selected (miles/GGE)]]=0,0,tbl_ReplacewAlt_user16[[#This Row],[*Number of Alternative Fuel Vehicles]]*tbl_ReplacewAlt_user16[[#This Row],[*Average VMT of Vehicles (miles/year/ vehicle)]]/tbl_ReplacewAlt_user16[[#This Row],[Fuel Economy of conventional vehicles in the category selected (miles/GGE)]])</f>
        <v>0</v>
      </c>
      <c r="M21" s="324">
        <f>IF(OR(ISBLANK(tbl_ReplacewAlt_user16[[#This Row],[*Make and Model of Alternative Fuel Vehicle]]),ISBLANK(tbl_ReplacewAlt_user16[[#This Row],[*Conventional vehicle category closest in size and weight to the new/existing AFV (select from list)]])),0,MAX(tbl_ReplacewAlt_user16[[#This Row],[Alternative Fuel Use (GGE)]],tbl_ReplacewAlt_user16[[#This Row],[Petroleum Used in Typical Conventional Vehicle of this Size]]-tbl_ReplacewAlt_user16[[#This Row],[Conventional Fuel Use (GGE)]]))</f>
        <v>0</v>
      </c>
    </row>
  </sheetData>
  <mergeCells count="3">
    <mergeCell ref="B10:C10"/>
    <mergeCell ref="B4:I8"/>
    <mergeCell ref="B2:I3"/>
  </mergeCells>
  <dataValidations count="11">
    <dataValidation allowBlank="1" showInputMessage="1" showErrorMessage="1" prompt="This is the GGE credit based on either petroleum reduction from replacement of vehicles or alternative fuel use in the new or replacement vehicles, whichever is greater." sqref="M14" xr:uid="{00000000-0002-0000-0200-000002000000}"/>
    <dataValidation allowBlank="1" showInputMessage="1" showErrorMessage="1" prompt="The default value is derived from Argonne National Laboratory's GREET model. For plug-in hybrid electric vehicles the gasoline fuel economy is shown. The fuel economy of the all electric miles is assumed to be 79.6 miles/GGE" sqref="I14" xr:uid="{00000000-0002-0000-0200-000003000000}"/>
    <dataValidation allowBlank="1" showInputMessage="1" showErrorMessage="1" prompt="Use % all electric miles for plug-in vehicles. The default value for % all electric miles (40.6%) is the value calculated for the GREET model for a PHEV20 using US daily travel ranges. There is no default usage for E85" sqref="H14" xr:uid="{00000000-0002-0000-0200-000004000000}"/>
    <dataValidation allowBlank="1" showInputMessage="1" showErrorMessage="1" prompt="To add a vehicle, start typing in the cell below the last entry in this column. A new row will be added automatically." sqref="B14" xr:uid="{00000000-0002-0000-0200-000005000000}"/>
    <dataValidation type="whole" allowBlank="1" showInputMessage="1" showErrorMessage="1" sqref="E15:E21" xr:uid="{00000000-0002-0000-0200-000006000000}">
      <formula1>1</formula1>
      <formula2>max_remaining</formula2>
    </dataValidation>
    <dataValidation allowBlank="1" showInputMessage="1" showErrorMessage="1" prompt="Values for gasoline FE from AFLEET Tool 2023 downloaded 8/8/2023, https://greet.es.anl.gov/afleet" sqref="D14" xr:uid="{5CBC7602-A883-4E00-9D27-4B4351DADF51}"/>
    <dataValidation allowBlank="1" showInputMessage="1" showErrorMessage="1" prompt="Select the closest vehicle type from the dropdown list" sqref="C14" xr:uid="{2F63E268-BF8C-634A-8739-40B324D51DB8}"/>
    <dataValidation type="list" allowBlank="1" showInputMessage="1" showErrorMessage="1" prompt="Select the closest vehicle type from the dropdown list" sqref="C15:C21" xr:uid="{BA5D2808-0B29-854A-A37A-CAC18ACEE2A6}">
      <formula1>INDIRECT("TBL_AFLEET_GGE[Vocation]")</formula1>
    </dataValidation>
    <dataValidation type="list" errorStyle="information" allowBlank="1" showInputMessage="1" prompt="Enter a value. If a default value is available, you can select it from the dropdown list. If no default is available, the dropdown list will be empty." sqref="H15:H21" xr:uid="{602F111E-B932-D542-823C-313C6098F8A9}">
      <formula1>Default_AF_percent</formula1>
    </dataValidation>
    <dataValidation type="list" allowBlank="1" showInputMessage="1" showErrorMessage="1" error="select from the dropdown list" prompt="Select from the list of fuel types" sqref="G15:G21" xr:uid="{0FB91611-1C56-E248-A95C-F5D96B390651}">
      <formula1>INDIRECT("TBL_AFLEET_Fuels["&amp;temp_AFLEET_vehType&amp;"]")</formula1>
    </dataValidation>
    <dataValidation type="list" errorStyle="information" allowBlank="1" showInputMessage="1" showErrorMessage="1" error="Using a non-default value" prompt="Select the default MPG or input your own value. For plug-in hybrid electric vehicles the all-electric fuel economy is shown as the default value. The fuel economy of the gasoline miles is assumed to be the same as for the conventional vehicle in this cate" sqref="I16:I21 I15" xr:uid="{316765BD-007E-4F4F-910F-C364CDD6947C}">
      <formula1>Default_AFLEET_FE</formula1>
    </dataValidation>
  </dataValidations>
  <pageMargins left="0.75" right="0.75" top="1" bottom="1" header="0.5" footer="0.5"/>
  <pageSetup orientation="portrait" horizontalDpi="4294967292" verticalDpi="4294967292"/>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R68"/>
  <sheetViews>
    <sheetView showGridLines="0" topLeftCell="A44" workbookViewId="0">
      <selection activeCell="E74" sqref="E74"/>
    </sheetView>
  </sheetViews>
  <sheetFormatPr baseColWidth="10" defaultColWidth="10.1640625" defaultRowHeight="16"/>
  <cols>
    <col min="2" max="2" width="22.6640625" customWidth="1"/>
    <col min="3" max="3" width="30" customWidth="1"/>
    <col min="4" max="4" width="20" customWidth="1"/>
    <col min="5" max="5" width="21" customWidth="1"/>
    <col min="6" max="7" width="22.33203125" customWidth="1"/>
    <col min="8" max="8" width="16" customWidth="1"/>
    <col min="9" max="10" width="23" customWidth="1"/>
    <col min="11" max="11" width="13.1640625" customWidth="1"/>
    <col min="12" max="12" width="14.6640625" customWidth="1"/>
    <col min="13" max="13" width="13.1640625" customWidth="1"/>
    <col min="14" max="14" width="15.83203125" customWidth="1"/>
    <col min="15" max="17" width="13.1640625" customWidth="1"/>
  </cols>
  <sheetData>
    <row r="1" spans="1:18" ht="24">
      <c r="A1" s="30"/>
      <c r="B1" s="35" t="s">
        <v>222</v>
      </c>
      <c r="C1" s="31"/>
      <c r="D1" s="31"/>
      <c r="E1" s="30"/>
      <c r="F1" s="30"/>
      <c r="G1" s="30"/>
      <c r="H1" s="30"/>
      <c r="I1" s="30"/>
      <c r="J1" s="30"/>
      <c r="K1" s="30"/>
      <c r="Q1" s="30"/>
      <c r="R1" s="30"/>
    </row>
    <row r="2" spans="1:18" ht="19">
      <c r="A2" s="30"/>
      <c r="B2" s="402" t="s">
        <v>320</v>
      </c>
      <c r="C2" s="402"/>
      <c r="D2" s="402"/>
      <c r="E2" s="402"/>
      <c r="F2" s="402"/>
      <c r="G2" s="402"/>
      <c r="H2" s="71"/>
      <c r="I2" s="71"/>
      <c r="J2" s="71"/>
      <c r="K2" s="71"/>
      <c r="L2" s="71"/>
      <c r="M2" s="71"/>
      <c r="N2" s="71"/>
      <c r="O2" s="71"/>
      <c r="P2" s="71"/>
      <c r="Q2" s="71"/>
      <c r="R2" s="30"/>
    </row>
    <row r="3" spans="1:18" ht="19">
      <c r="A3" s="30"/>
      <c r="B3" s="402"/>
      <c r="C3" s="402"/>
      <c r="D3" s="402"/>
      <c r="E3" s="402"/>
      <c r="F3" s="402"/>
      <c r="G3" s="402"/>
      <c r="H3" s="71"/>
      <c r="I3" s="71"/>
      <c r="J3" s="71"/>
      <c r="K3" s="71"/>
      <c r="L3" s="71"/>
      <c r="M3" s="71"/>
      <c r="N3" s="71"/>
      <c r="O3" s="71"/>
      <c r="P3" s="71"/>
      <c r="Q3" s="71"/>
      <c r="R3" s="30"/>
    </row>
    <row r="4" spans="1:18" ht="19">
      <c r="A4" s="30"/>
      <c r="B4" s="402"/>
      <c r="C4" s="402"/>
      <c r="D4" s="402"/>
      <c r="E4" s="402"/>
      <c r="F4" s="402"/>
      <c r="G4" s="402"/>
      <c r="H4" s="71"/>
      <c r="I4" s="71"/>
      <c r="J4" s="71"/>
      <c r="K4" s="71"/>
      <c r="L4" s="71"/>
      <c r="M4" s="71"/>
      <c r="N4" s="71"/>
      <c r="O4" s="71"/>
      <c r="P4" s="71"/>
      <c r="Q4" s="71"/>
      <c r="R4" s="30"/>
    </row>
    <row r="5" spans="1:18" ht="19">
      <c r="A5" s="30"/>
      <c r="B5" s="402"/>
      <c r="C5" s="402"/>
      <c r="D5" s="402"/>
      <c r="E5" s="402"/>
      <c r="F5" s="402"/>
      <c r="G5" s="402"/>
      <c r="H5" s="71"/>
      <c r="I5" s="71"/>
      <c r="J5" s="71"/>
      <c r="K5" s="71"/>
      <c r="L5" s="71"/>
      <c r="M5" s="71"/>
      <c r="N5" s="71"/>
      <c r="O5" s="71"/>
      <c r="P5" s="71"/>
      <c r="Q5" s="71"/>
      <c r="R5" s="30"/>
    </row>
    <row r="6" spans="1:18" ht="19">
      <c r="A6" s="30"/>
      <c r="B6" s="71"/>
      <c r="C6" s="71"/>
      <c r="D6" s="71"/>
      <c r="E6" s="71"/>
      <c r="F6" s="71"/>
      <c r="G6" s="71"/>
      <c r="H6" s="71"/>
      <c r="I6" s="71"/>
      <c r="J6" s="71"/>
      <c r="K6" s="71"/>
      <c r="L6" s="71"/>
      <c r="M6" s="71"/>
      <c r="N6" s="71"/>
      <c r="O6" s="71"/>
      <c r="P6" s="71"/>
      <c r="Q6" s="71"/>
      <c r="R6" s="30"/>
    </row>
    <row r="7" spans="1:18" ht="31.5" customHeight="1">
      <c r="A7" s="30"/>
      <c r="F7" s="401" t="s">
        <v>292</v>
      </c>
      <c r="G7" s="401"/>
      <c r="I7" s="30"/>
      <c r="J7" s="30"/>
      <c r="K7" s="54"/>
      <c r="Q7" s="30"/>
      <c r="R7" s="30"/>
    </row>
    <row r="8" spans="1:18" ht="20" customHeight="1">
      <c r="A8" s="30"/>
      <c r="B8" s="31" t="s">
        <v>227</v>
      </c>
      <c r="C8" s="155">
        <f>Biodiesel_veh_total+Biodiesel_tank_total</f>
        <v>0</v>
      </c>
      <c r="D8" s="31" t="s">
        <v>54</v>
      </c>
      <c r="E8" s="30"/>
      <c r="F8" s="401"/>
      <c r="G8" s="401"/>
      <c r="H8" s="30"/>
      <c r="I8" s="30"/>
      <c r="J8" s="30"/>
      <c r="K8" s="54"/>
      <c r="Q8" s="30"/>
      <c r="R8" s="30"/>
    </row>
    <row r="9" spans="1:18" ht="20" customHeight="1">
      <c r="A9" s="30"/>
      <c r="B9" s="31"/>
      <c r="D9" s="31"/>
      <c r="E9" s="30"/>
      <c r="F9" s="401"/>
      <c r="G9" s="401"/>
      <c r="H9" s="30"/>
      <c r="I9" s="30"/>
      <c r="J9" s="30"/>
      <c r="K9" s="54"/>
      <c r="Q9" s="30"/>
      <c r="R9" s="30"/>
    </row>
    <row r="10" spans="1:18" ht="20" customHeight="1">
      <c r="A10" s="30"/>
      <c r="B10" s="31"/>
      <c r="D10" s="31"/>
      <c r="E10" s="30"/>
      <c r="H10" s="30"/>
      <c r="I10" s="30"/>
      <c r="J10" s="30"/>
      <c r="K10" s="54"/>
      <c r="Q10" s="30"/>
      <c r="R10" s="30"/>
    </row>
    <row r="11" spans="1:18" ht="18" thickBot="1">
      <c r="A11" s="30"/>
      <c r="B11" s="166" t="s">
        <v>288</v>
      </c>
      <c r="C11" s="166"/>
      <c r="D11" s="166"/>
      <c r="E11" s="144"/>
      <c r="F11" s="174"/>
      <c r="G11" s="174"/>
      <c r="H11" s="30"/>
      <c r="I11" s="30"/>
      <c r="J11" s="30"/>
      <c r="K11" s="54"/>
      <c r="Q11" s="30"/>
      <c r="R11" s="30"/>
    </row>
    <row r="12" spans="1:18" ht="21">
      <c r="A12" s="30"/>
      <c r="B12" s="260" t="s">
        <v>293</v>
      </c>
      <c r="C12" s="98"/>
      <c r="D12" s="98"/>
      <c r="E12" s="91"/>
      <c r="F12" s="84"/>
      <c r="G12" s="85"/>
      <c r="H12" s="30"/>
      <c r="I12" s="30"/>
      <c r="J12" s="30"/>
      <c r="K12" s="54"/>
      <c r="Q12" s="30"/>
      <c r="R12" s="30"/>
    </row>
    <row r="13" spans="1:18" ht="19">
      <c r="A13" s="30"/>
      <c r="B13" s="99" t="s">
        <v>66</v>
      </c>
      <c r="C13" s="156">
        <f>SUM(tbl_biodiesel_veh[GGE])</f>
        <v>0</v>
      </c>
      <c r="D13" s="31" t="s">
        <v>54</v>
      </c>
      <c r="E13" s="30"/>
      <c r="F13" s="30"/>
      <c r="G13" s="100"/>
      <c r="H13" s="30"/>
      <c r="I13" s="30"/>
      <c r="J13" s="30"/>
      <c r="K13" s="54"/>
      <c r="Q13" s="30"/>
      <c r="R13" s="30"/>
    </row>
    <row r="14" spans="1:18" ht="19">
      <c r="A14" s="30"/>
      <c r="B14" s="101"/>
      <c r="C14" s="102"/>
      <c r="D14" s="103"/>
      <c r="E14" s="104"/>
      <c r="F14" s="104"/>
      <c r="G14" s="105"/>
      <c r="H14" s="30"/>
      <c r="I14" s="30"/>
      <c r="J14" s="30"/>
      <c r="K14" s="54"/>
      <c r="Q14" s="30"/>
      <c r="R14" s="30"/>
    </row>
    <row r="15" spans="1:18" ht="80" customHeight="1">
      <c r="A15" s="57"/>
      <c r="B15" s="36" t="s">
        <v>139</v>
      </c>
      <c r="C15" s="107" t="s">
        <v>213</v>
      </c>
      <c r="D15" s="108" t="s">
        <v>82</v>
      </c>
      <c r="E15" s="108" t="s">
        <v>59</v>
      </c>
      <c r="F15" s="108" t="s">
        <v>220</v>
      </c>
      <c r="G15" s="28" t="s">
        <v>54</v>
      </c>
      <c r="N15" s="57"/>
    </row>
    <row r="16" spans="1:18" s="58" customFormat="1">
      <c r="B16" s="294"/>
      <c r="C16" s="293"/>
      <c r="D16" s="297"/>
      <c r="E16" s="295"/>
      <c r="F16" s="298"/>
      <c r="G16" s="296" t="str">
        <f>IF(tbl_biodiesel_veh[[#This Row],[Fuel Amount (gallons)]]="","",tbl_biodiesel_veh[[#This Row],[Percent B100 in Biodiesel Blend]]*tbl_biodiesel_veh[[#This Row],[Fuel Amount (gallons)]]*Biodiesel_CF)</f>
        <v/>
      </c>
      <c r="H16"/>
      <c r="I16"/>
      <c r="J16"/>
      <c r="K16"/>
      <c r="L16"/>
      <c r="M16"/>
    </row>
    <row r="17" spans="2:14" s="58" customFormat="1">
      <c r="B17" s="294"/>
      <c r="C17" s="293"/>
      <c r="D17" s="297"/>
      <c r="E17" s="295"/>
      <c r="F17" s="298"/>
      <c r="G17" s="296" t="str">
        <f>IF(tbl_biodiesel_veh[[#This Row],[Fuel Amount (gallons)]]="","",tbl_biodiesel_veh[[#This Row],[Percent B100 in Biodiesel Blend]]*tbl_biodiesel_veh[[#This Row],[Fuel Amount (gallons)]]*Biodiesel_CF)</f>
        <v/>
      </c>
      <c r="H17"/>
      <c r="I17"/>
      <c r="J17"/>
      <c r="K17"/>
      <c r="L17"/>
      <c r="M17"/>
    </row>
    <row r="18" spans="2:14" s="58" customFormat="1">
      <c r="B18" s="294"/>
      <c r="C18" s="293"/>
      <c r="D18" s="297"/>
      <c r="E18" s="295"/>
      <c r="F18" s="298"/>
      <c r="G18" s="296" t="str">
        <f>IF(tbl_biodiesel_veh[[#This Row],[Fuel Amount (gallons)]]="","",tbl_biodiesel_veh[[#This Row],[Percent B100 in Biodiesel Blend]]*tbl_biodiesel_veh[[#This Row],[Fuel Amount (gallons)]]*Biodiesel_CF)</f>
        <v/>
      </c>
      <c r="H18"/>
      <c r="I18"/>
      <c r="J18"/>
      <c r="K18"/>
      <c r="L18"/>
      <c r="M18"/>
    </row>
    <row r="19" spans="2:14" s="58" customFormat="1">
      <c r="B19" s="294"/>
      <c r="C19" s="293"/>
      <c r="D19" s="297"/>
      <c r="E19" s="295"/>
      <c r="F19" s="298"/>
      <c r="G19" s="296" t="str">
        <f>IF(tbl_biodiesel_veh[[#This Row],[Fuel Amount (gallons)]]="","",tbl_biodiesel_veh[[#This Row],[Percent B100 in Biodiesel Blend]]*tbl_biodiesel_veh[[#This Row],[Fuel Amount (gallons)]]*Biodiesel_CF)</f>
        <v/>
      </c>
      <c r="H19"/>
      <c r="I19"/>
      <c r="J19"/>
      <c r="K19"/>
      <c r="L19"/>
      <c r="M19"/>
    </row>
    <row r="20" spans="2:14" s="58" customFormat="1">
      <c r="B20" s="294"/>
      <c r="C20" s="293"/>
      <c r="D20" s="297"/>
      <c r="E20" s="295"/>
      <c r="F20" s="298"/>
      <c r="G20" s="296" t="str">
        <f>IF(tbl_biodiesel_veh[[#This Row],[Fuel Amount (gallons)]]="","",tbl_biodiesel_veh[[#This Row],[Percent B100 in Biodiesel Blend]]*tbl_biodiesel_veh[[#This Row],[Fuel Amount (gallons)]]*Biodiesel_CF)</f>
        <v/>
      </c>
      <c r="H20"/>
      <c r="I20"/>
      <c r="J20"/>
      <c r="K20"/>
      <c r="L20"/>
      <c r="M20"/>
    </row>
    <row r="21" spans="2:14" s="58" customFormat="1">
      <c r="B21" s="294"/>
      <c r="C21" s="293"/>
      <c r="D21" s="297"/>
      <c r="E21" s="295"/>
      <c r="F21" s="298"/>
      <c r="G21" s="296" t="str">
        <f>IF(tbl_biodiesel_veh[[#This Row],[Fuel Amount (gallons)]]="","",tbl_biodiesel_veh[[#This Row],[Percent B100 in Biodiesel Blend]]*tbl_biodiesel_veh[[#This Row],[Fuel Amount (gallons)]]*Biodiesel_CF)</f>
        <v/>
      </c>
      <c r="H21"/>
      <c r="I21"/>
      <c r="J21"/>
      <c r="K21"/>
      <c r="L21"/>
      <c r="M21"/>
      <c r="N21"/>
    </row>
    <row r="22" spans="2:14" s="58" customFormat="1">
      <c r="B22" s="294"/>
      <c r="C22" s="293"/>
      <c r="D22" s="297"/>
      <c r="E22" s="295"/>
      <c r="F22" s="298"/>
      <c r="G22" s="296" t="str">
        <f>IF(tbl_biodiesel_veh[[#This Row],[Fuel Amount (gallons)]]="","",tbl_biodiesel_veh[[#This Row],[Percent B100 in Biodiesel Blend]]*tbl_biodiesel_veh[[#This Row],[Fuel Amount (gallons)]]*Biodiesel_CF)</f>
        <v/>
      </c>
      <c r="H22"/>
      <c r="I22"/>
      <c r="J22"/>
      <c r="K22"/>
      <c r="L22"/>
      <c r="M22"/>
      <c r="N22"/>
    </row>
    <row r="23" spans="2:14" s="58" customFormat="1">
      <c r="B23" s="294"/>
      <c r="C23" s="293"/>
      <c r="D23" s="297"/>
      <c r="E23" s="295"/>
      <c r="F23" s="298"/>
      <c r="G23" s="296" t="str">
        <f>IF(tbl_biodiesel_veh[[#This Row],[Fuel Amount (gallons)]]="","",tbl_biodiesel_veh[[#This Row],[Percent B100 in Biodiesel Blend]]*tbl_biodiesel_veh[[#This Row],[Fuel Amount (gallons)]]*Biodiesel_CF)</f>
        <v/>
      </c>
      <c r="H23"/>
      <c r="I23"/>
      <c r="J23"/>
      <c r="K23"/>
      <c r="L23"/>
      <c r="M23"/>
      <c r="N23"/>
    </row>
    <row r="24" spans="2:14" s="58" customFormat="1">
      <c r="B24" s="294"/>
      <c r="C24" s="293"/>
      <c r="D24" s="297"/>
      <c r="E24" s="295"/>
      <c r="F24" s="298"/>
      <c r="G24" s="296" t="str">
        <f>IF(tbl_biodiesel_veh[[#This Row],[Fuel Amount (gallons)]]="","",tbl_biodiesel_veh[[#This Row],[Percent B100 in Biodiesel Blend]]*tbl_biodiesel_veh[[#This Row],[Fuel Amount (gallons)]]*Biodiesel_CF)</f>
        <v/>
      </c>
      <c r="H24"/>
      <c r="I24"/>
      <c r="J24"/>
      <c r="K24"/>
      <c r="L24"/>
      <c r="M24"/>
      <c r="N24"/>
    </row>
    <row r="25" spans="2:14" s="58" customFormat="1">
      <c r="B25" s="294"/>
      <c r="C25" s="293"/>
      <c r="D25" s="297"/>
      <c r="E25" s="295"/>
      <c r="F25" s="298"/>
      <c r="G25" s="296" t="str">
        <f>IF(tbl_biodiesel_veh[[#This Row],[Fuel Amount (gallons)]]="","",tbl_biodiesel_veh[[#This Row],[Percent B100 in Biodiesel Blend]]*tbl_biodiesel_veh[[#This Row],[Fuel Amount (gallons)]]*Biodiesel_CF)</f>
        <v/>
      </c>
      <c r="H25"/>
      <c r="I25"/>
      <c r="J25"/>
      <c r="K25"/>
      <c r="L25"/>
      <c r="M25"/>
      <c r="N25"/>
    </row>
    <row r="26" spans="2:14" s="58" customFormat="1">
      <c r="B26" s="294"/>
      <c r="C26" s="293"/>
      <c r="D26" s="297"/>
      <c r="E26" s="295"/>
      <c r="F26" s="298"/>
      <c r="G26" s="296" t="str">
        <f>IF(tbl_biodiesel_veh[[#This Row],[Fuel Amount (gallons)]]="","",tbl_biodiesel_veh[[#This Row],[Percent B100 in Biodiesel Blend]]*tbl_biodiesel_veh[[#This Row],[Fuel Amount (gallons)]]*Biodiesel_CF)</f>
        <v/>
      </c>
      <c r="H26"/>
      <c r="I26"/>
      <c r="J26"/>
      <c r="K26"/>
      <c r="L26"/>
      <c r="M26"/>
      <c r="N26"/>
    </row>
    <row r="27" spans="2:14" s="58" customFormat="1">
      <c r="B27" s="294"/>
      <c r="C27" s="293"/>
      <c r="D27" s="297"/>
      <c r="E27" s="295"/>
      <c r="F27" s="298"/>
      <c r="G27" s="296" t="str">
        <f>IF(tbl_biodiesel_veh[[#This Row],[Fuel Amount (gallons)]]="","",tbl_biodiesel_veh[[#This Row],[Percent B100 in Biodiesel Blend]]*tbl_biodiesel_veh[[#This Row],[Fuel Amount (gallons)]]*Biodiesel_CF)</f>
        <v/>
      </c>
      <c r="H27"/>
      <c r="I27"/>
      <c r="J27"/>
      <c r="K27"/>
      <c r="L27"/>
      <c r="M27"/>
      <c r="N27"/>
    </row>
    <row r="28" spans="2:14" s="58" customFormat="1">
      <c r="B28" s="294"/>
      <c r="C28" s="293"/>
      <c r="D28" s="297"/>
      <c r="E28" s="295"/>
      <c r="F28" s="298"/>
      <c r="G28" s="296" t="str">
        <f>IF(tbl_biodiesel_veh[[#This Row],[Fuel Amount (gallons)]]="","",tbl_biodiesel_veh[[#This Row],[Percent B100 in Biodiesel Blend]]*tbl_biodiesel_veh[[#This Row],[Fuel Amount (gallons)]]*Biodiesel_CF)</f>
        <v/>
      </c>
      <c r="H28"/>
      <c r="I28"/>
      <c r="J28"/>
      <c r="K28"/>
      <c r="L28"/>
      <c r="M28"/>
      <c r="N28"/>
    </row>
    <row r="29" spans="2:14" s="58" customFormat="1">
      <c r="B29" s="294"/>
      <c r="C29" s="293"/>
      <c r="D29" s="297"/>
      <c r="E29" s="295"/>
      <c r="F29" s="298"/>
      <c r="G29" s="296" t="str">
        <f>IF(tbl_biodiesel_veh[[#This Row],[Fuel Amount (gallons)]]="","",tbl_biodiesel_veh[[#This Row],[Percent B100 in Biodiesel Blend]]*tbl_biodiesel_veh[[#This Row],[Fuel Amount (gallons)]]*Biodiesel_CF)</f>
        <v/>
      </c>
      <c r="H29"/>
      <c r="I29"/>
      <c r="J29"/>
      <c r="K29"/>
      <c r="L29"/>
      <c r="M29"/>
      <c r="N29"/>
    </row>
    <row r="30" spans="2:14" s="58" customFormat="1">
      <c r="B30" s="294"/>
      <c r="C30" s="293"/>
      <c r="D30" s="297"/>
      <c r="E30" s="295"/>
      <c r="F30" s="298"/>
      <c r="G30" s="296" t="str">
        <f>IF(tbl_biodiesel_veh[[#This Row],[Fuel Amount (gallons)]]="","",tbl_biodiesel_veh[[#This Row],[Percent B100 in Biodiesel Blend]]*tbl_biodiesel_veh[[#This Row],[Fuel Amount (gallons)]]*Biodiesel_CF)</f>
        <v/>
      </c>
      <c r="H30"/>
      <c r="I30"/>
      <c r="J30"/>
      <c r="K30"/>
      <c r="L30"/>
      <c r="M30"/>
      <c r="N30"/>
    </row>
    <row r="31" spans="2:14" s="58" customFormat="1">
      <c r="B31" s="294"/>
      <c r="C31" s="293"/>
      <c r="D31" s="297"/>
      <c r="E31" s="295"/>
      <c r="F31" s="298"/>
      <c r="G31" s="296" t="str">
        <f>IF(tbl_biodiesel_veh[[#This Row],[Fuel Amount (gallons)]]="","",tbl_biodiesel_veh[[#This Row],[Percent B100 in Biodiesel Blend]]*tbl_biodiesel_veh[[#This Row],[Fuel Amount (gallons)]]*Biodiesel_CF)</f>
        <v/>
      </c>
      <c r="H31"/>
      <c r="I31"/>
      <c r="J31"/>
      <c r="K31"/>
      <c r="L31"/>
      <c r="M31"/>
      <c r="N31"/>
    </row>
    <row r="32" spans="2:14" s="58" customFormat="1">
      <c r="B32" s="294"/>
      <c r="C32" s="293"/>
      <c r="D32" s="297"/>
      <c r="E32" s="295"/>
      <c r="F32" s="298"/>
      <c r="G32" s="296" t="str">
        <f>IF(tbl_biodiesel_veh[[#This Row],[Fuel Amount (gallons)]]="","",tbl_biodiesel_veh[[#This Row],[Percent B100 in Biodiesel Blend]]*tbl_biodiesel_veh[[#This Row],[Fuel Amount (gallons)]]*Biodiesel_CF)</f>
        <v/>
      </c>
      <c r="H32"/>
      <c r="I32"/>
      <c r="J32"/>
      <c r="K32"/>
      <c r="L32"/>
      <c r="M32"/>
      <c r="N32"/>
    </row>
    <row r="33" spans="2:14" s="58" customFormat="1">
      <c r="B33" s="294"/>
      <c r="C33" s="293"/>
      <c r="D33" s="297"/>
      <c r="E33" s="295"/>
      <c r="F33" s="298"/>
      <c r="G33" s="296" t="str">
        <f>IF(tbl_biodiesel_veh[[#This Row],[Fuel Amount (gallons)]]="","",tbl_biodiesel_veh[[#This Row],[Percent B100 in Biodiesel Blend]]*tbl_biodiesel_veh[[#This Row],[Fuel Amount (gallons)]]*Biodiesel_CF)</f>
        <v/>
      </c>
      <c r="H33"/>
      <c r="I33"/>
      <c r="J33"/>
      <c r="K33"/>
      <c r="L33"/>
      <c r="M33"/>
      <c r="N33"/>
    </row>
    <row r="34" spans="2:14" s="58" customFormat="1">
      <c r="B34" s="294"/>
      <c r="C34" s="293"/>
      <c r="D34" s="297"/>
      <c r="E34" s="295"/>
      <c r="F34" s="298"/>
      <c r="G34" s="296" t="str">
        <f>IF(tbl_biodiesel_veh[[#This Row],[Fuel Amount (gallons)]]="","",tbl_biodiesel_veh[[#This Row],[Percent B100 in Biodiesel Blend]]*tbl_biodiesel_veh[[#This Row],[Fuel Amount (gallons)]]*Biodiesel_CF)</f>
        <v/>
      </c>
      <c r="H34"/>
      <c r="I34"/>
      <c r="J34"/>
      <c r="K34"/>
      <c r="L34"/>
      <c r="M34"/>
      <c r="N34"/>
    </row>
    <row r="35" spans="2:14" s="58" customFormat="1">
      <c r="B35" s="294"/>
      <c r="C35" s="293"/>
      <c r="D35" s="297"/>
      <c r="E35" s="295"/>
      <c r="F35" s="298"/>
      <c r="G35" s="296" t="str">
        <f>IF(tbl_biodiesel_veh[[#This Row],[Fuel Amount (gallons)]]="","",tbl_biodiesel_veh[[#This Row],[Percent B100 in Biodiesel Blend]]*tbl_biodiesel_veh[[#This Row],[Fuel Amount (gallons)]]*Biodiesel_CF)</f>
        <v/>
      </c>
      <c r="H35"/>
      <c r="I35"/>
      <c r="J35"/>
      <c r="K35"/>
      <c r="L35"/>
      <c r="M35"/>
      <c r="N35"/>
    </row>
    <row r="36" spans="2:14" s="58" customFormat="1">
      <c r="B36"/>
      <c r="C36"/>
      <c r="D36"/>
      <c r="E36"/>
      <c r="F36"/>
      <c r="G36"/>
      <c r="H36"/>
      <c r="I36"/>
      <c r="J36"/>
      <c r="K36"/>
      <c r="L36"/>
      <c r="M36"/>
      <c r="N36"/>
    </row>
    <row r="37" spans="2:14" s="58" customFormat="1">
      <c r="B37"/>
      <c r="C37"/>
      <c r="D37"/>
      <c r="E37"/>
      <c r="F37"/>
      <c r="G37"/>
      <c r="H37"/>
      <c r="I37"/>
      <c r="J37"/>
      <c r="K37"/>
      <c r="L37"/>
      <c r="M37"/>
      <c r="N37"/>
    </row>
    <row r="38" spans="2:14" s="58" customFormat="1" ht="17" thickBot="1">
      <c r="B38" s="32"/>
      <c r="C38" s="32"/>
      <c r="D38"/>
      <c r="E38"/>
      <c r="F38"/>
      <c r="G38"/>
      <c r="H38"/>
      <c r="I38"/>
      <c r="J38"/>
      <c r="K38"/>
      <c r="L38"/>
      <c r="M38"/>
      <c r="N38"/>
    </row>
    <row r="39" spans="2:14">
      <c r="B39" s="160" t="s">
        <v>225</v>
      </c>
      <c r="C39" s="160"/>
      <c r="D39" s="161"/>
      <c r="E39" s="161"/>
      <c r="F39" s="161"/>
      <c r="G39" s="161"/>
    </row>
    <row r="43" spans="2:14">
      <c r="B43" s="32"/>
      <c r="C43" s="32"/>
    </row>
    <row r="44" spans="2:14" ht="18" thickBot="1">
      <c r="B44" s="166" t="s">
        <v>290</v>
      </c>
      <c r="C44" s="166"/>
      <c r="D44" s="166"/>
      <c r="E44" s="144"/>
      <c r="F44" s="174"/>
    </row>
    <row r="45" spans="2:14" ht="21">
      <c r="B45" s="260" t="s">
        <v>294</v>
      </c>
      <c r="C45" s="98"/>
      <c r="D45" s="98"/>
      <c r="E45" s="84"/>
      <c r="F45" s="85"/>
      <c r="G45" s="30"/>
      <c r="H45" s="30"/>
      <c r="I45" s="30"/>
      <c r="J45" s="30"/>
    </row>
    <row r="46" spans="2:14" ht="26" customHeight="1">
      <c r="B46" s="99" t="s">
        <v>227</v>
      </c>
      <c r="C46" s="155">
        <f>IF(C53=FALSE, 0,Biodiesel_tank_start*Biodiesel_start_BL*Biodiesel_CF+SUM(tbl_biodiesel_tank[GGE])-Biodiesel_tank_end*Biodiesel_end_BL*Biodiesel_CF)</f>
        <v>0</v>
      </c>
      <c r="D46" s="31" t="s">
        <v>54</v>
      </c>
      <c r="E46" s="327" t="str">
        <f>IF(C53=FALSE,"The certification box must be checked to receive credit","")</f>
        <v>The certification box must be checked to receive credit</v>
      </c>
      <c r="F46" s="405"/>
      <c r="G46" s="30"/>
      <c r="H46" s="30"/>
      <c r="I46" s="30"/>
      <c r="J46" s="30"/>
    </row>
    <row r="47" spans="2:14" ht="19">
      <c r="B47" s="99"/>
      <c r="C47" s="56"/>
      <c r="D47" s="31"/>
      <c r="E47" s="30"/>
      <c r="F47" s="100"/>
      <c r="G47" s="30"/>
      <c r="H47" s="30"/>
      <c r="I47" s="30"/>
      <c r="J47" s="30"/>
    </row>
    <row r="48" spans="2:14">
      <c r="B48" s="406" t="str">
        <f xml:space="preserve"> "Fuel in tank September 1, "&amp;credit_year-1</f>
        <v>Fuel in tank September 1, 2022</v>
      </c>
      <c r="C48" s="407"/>
      <c r="D48" s="64"/>
      <c r="E48" t="s">
        <v>204</v>
      </c>
      <c r="F48" s="100"/>
      <c r="G48" s="30"/>
      <c r="H48" s="30"/>
      <c r="I48" s="30"/>
      <c r="J48" s="30"/>
    </row>
    <row r="49" spans="2:10">
      <c r="B49" s="406" t="str">
        <f xml:space="preserve"> "Blend level in tank September 1, "&amp;credit_year-1</f>
        <v>Blend level in tank September 1, 2022</v>
      </c>
      <c r="C49" s="407"/>
      <c r="D49" s="70"/>
      <c r="E49" t="s">
        <v>205</v>
      </c>
      <c r="F49" s="100"/>
      <c r="G49" s="30"/>
      <c r="H49" s="30"/>
      <c r="I49" s="30"/>
      <c r="J49" s="30"/>
    </row>
    <row r="50" spans="2:10">
      <c r="B50" s="406" t="str">
        <f>"Fuel in tank August 31, " &amp; credit_year</f>
        <v>Fuel in tank August 31, 2023</v>
      </c>
      <c r="C50" s="407"/>
      <c r="D50" s="64"/>
      <c r="E50" t="s">
        <v>204</v>
      </c>
      <c r="F50" s="100"/>
      <c r="G50" s="30"/>
      <c r="H50" s="30"/>
      <c r="I50" s="30"/>
      <c r="J50" s="30"/>
    </row>
    <row r="51" spans="2:10">
      <c r="B51" s="406" t="str">
        <f>"Blend level in tank August 31, " &amp; credit_year</f>
        <v>Blend level in tank August 31, 2023</v>
      </c>
      <c r="C51" s="407"/>
      <c r="D51" s="70"/>
      <c r="E51" t="s">
        <v>205</v>
      </c>
      <c r="F51" s="100"/>
      <c r="G51" s="30"/>
      <c r="H51" s="30"/>
      <c r="I51" s="30"/>
      <c r="J51" s="30"/>
    </row>
    <row r="52" spans="2:10">
      <c r="B52" s="110"/>
      <c r="C52" s="111"/>
      <c r="F52" s="100"/>
      <c r="G52" s="30"/>
      <c r="H52" s="30"/>
      <c r="I52" s="30"/>
      <c r="J52" s="30"/>
    </row>
    <row r="53" spans="2:10" ht="18" customHeight="1">
      <c r="B53" s="110"/>
      <c r="C53" s="47" t="b">
        <v>0</v>
      </c>
      <c r="D53" s="403" t="s">
        <v>228</v>
      </c>
      <c r="E53" s="403"/>
      <c r="F53" s="404"/>
      <c r="G53" s="30"/>
      <c r="H53" s="30"/>
      <c r="I53" s="30"/>
      <c r="J53" s="30"/>
    </row>
    <row r="54" spans="2:10" ht="16" customHeight="1">
      <c r="B54" s="110"/>
      <c r="C54" s="47"/>
      <c r="D54" s="403"/>
      <c r="E54" s="403"/>
      <c r="F54" s="404"/>
      <c r="G54" s="30"/>
      <c r="H54" s="30"/>
      <c r="I54" s="30"/>
      <c r="J54" s="30"/>
    </row>
    <row r="55" spans="2:10" ht="19">
      <c r="B55" s="101"/>
      <c r="C55" s="106"/>
      <c r="D55" s="103"/>
      <c r="E55" s="104"/>
      <c r="F55" s="105"/>
      <c r="G55" s="30"/>
      <c r="H55" s="30"/>
      <c r="I55" s="30"/>
      <c r="J55" s="30"/>
    </row>
    <row r="56" spans="2:10" ht="82" customHeight="1">
      <c r="B56" s="63" t="s">
        <v>64</v>
      </c>
      <c r="C56" s="63" t="s">
        <v>82</v>
      </c>
      <c r="D56" s="66" t="s">
        <v>65</v>
      </c>
      <c r="E56" s="66" t="s">
        <v>83</v>
      </c>
      <c r="F56" s="67" t="s">
        <v>54</v>
      </c>
    </row>
    <row r="57" spans="2:10">
      <c r="B57" s="109"/>
      <c r="C57" s="61"/>
      <c r="D57" s="59"/>
      <c r="E57" s="62"/>
      <c r="F57" s="157" t="str">
        <f>IF(tbl_biodiesel_tank[[#This Row],[Fuel Additions Amount (gallons)]]="","",tbl_biodiesel_tank[[#This Row],[Percent B100 in Biodiesel Blend]]*tbl_biodiesel_tank[[#This Row],[Fuel Additions Amount (gallons)]]*Biodiesel_CF)</f>
        <v/>
      </c>
    </row>
    <row r="58" spans="2:10">
      <c r="B58" s="65"/>
      <c r="C58" s="61"/>
      <c r="D58" s="59"/>
      <c r="E58" s="62"/>
      <c r="F58" s="157" t="str">
        <f>IF(tbl_biodiesel_tank[[#This Row],[Fuel Additions Amount (gallons)]]="","",tbl_biodiesel_tank[[#This Row],[Percent B100 in Biodiesel Blend]]*tbl_biodiesel_tank[[#This Row],[Fuel Additions Amount (gallons)]]*Biodiesel_CF)</f>
        <v/>
      </c>
    </row>
    <row r="59" spans="2:10">
      <c r="B59" s="65"/>
      <c r="C59" s="61"/>
      <c r="D59" s="59"/>
      <c r="E59" s="62"/>
      <c r="F59" s="157" t="str">
        <f>IF(tbl_biodiesel_tank[[#This Row],[Fuel Additions Amount (gallons)]]="","",tbl_biodiesel_tank[[#This Row],[Percent B100 in Biodiesel Blend]]*tbl_biodiesel_tank[[#This Row],[Fuel Additions Amount (gallons)]]*Biodiesel_CF)</f>
        <v/>
      </c>
    </row>
    <row r="60" spans="2:10">
      <c r="B60" s="65"/>
      <c r="C60" s="61"/>
      <c r="D60" s="60"/>
      <c r="E60" s="69"/>
      <c r="F60" s="158" t="str">
        <f>IF(tbl_biodiesel_tank[[#This Row],[Fuel Additions Amount (gallons)]]="","",tbl_biodiesel_tank[[#This Row],[Percent B100 in Biodiesel Blend]]*tbl_biodiesel_tank[[#This Row],[Fuel Additions Amount (gallons)]]*Biodiesel_CF)</f>
        <v/>
      </c>
    </row>
    <row r="61" spans="2:10">
      <c r="B61" s="65"/>
      <c r="C61" s="61"/>
      <c r="D61" s="77"/>
      <c r="E61" s="78"/>
      <c r="F61" s="159" t="str">
        <f>IF(tbl_biodiesel_tank[[#This Row],[Fuel Additions Amount (gallons)]]="","",tbl_biodiesel_tank[[#This Row],[Percent B100 in Biodiesel Blend]]*tbl_biodiesel_tank[[#This Row],[Fuel Additions Amount (gallons)]]*Biodiesel_CF)</f>
        <v/>
      </c>
    </row>
    <row r="62" spans="2:10">
      <c r="B62" s="65"/>
      <c r="C62" s="61"/>
      <c r="D62" s="77"/>
      <c r="E62" s="78"/>
      <c r="F62" s="159" t="str">
        <f>IF(tbl_biodiesel_tank[[#This Row],[Fuel Additions Amount (gallons)]]="","",tbl_biodiesel_tank[[#This Row],[Percent B100 in Biodiesel Blend]]*tbl_biodiesel_tank[[#This Row],[Fuel Additions Amount (gallons)]]*Biodiesel_CF)</f>
        <v/>
      </c>
    </row>
    <row r="63" spans="2:10">
      <c r="B63" s="65"/>
      <c r="C63" s="61"/>
      <c r="D63" s="77"/>
      <c r="E63" s="78"/>
      <c r="F63" s="159" t="str">
        <f>IF(tbl_biodiesel_tank[[#This Row],[Fuel Additions Amount (gallons)]]="","",tbl_biodiesel_tank[[#This Row],[Percent B100 in Biodiesel Blend]]*tbl_biodiesel_tank[[#This Row],[Fuel Additions Amount (gallons)]]*Biodiesel_CF)</f>
        <v/>
      </c>
    </row>
    <row r="64" spans="2:10">
      <c r="B64" s="65"/>
      <c r="C64" s="61"/>
      <c r="D64" s="77"/>
      <c r="E64" s="78"/>
      <c r="F64" s="159" t="str">
        <f>IF(tbl_biodiesel_tank[[#This Row],[Fuel Additions Amount (gallons)]]="","",tbl_biodiesel_tank[[#This Row],[Percent B100 in Biodiesel Blend]]*tbl_biodiesel_tank[[#This Row],[Fuel Additions Amount (gallons)]]*Biodiesel_CF)</f>
        <v/>
      </c>
    </row>
    <row r="65" spans="2:6">
      <c r="B65" s="65"/>
      <c r="C65" s="61"/>
      <c r="D65" s="77"/>
      <c r="E65" s="78"/>
      <c r="F65" s="159" t="str">
        <f>IF(tbl_biodiesel_tank[[#This Row],[Fuel Additions Amount (gallons)]]="","",tbl_biodiesel_tank[[#This Row],[Percent B100 in Biodiesel Blend]]*tbl_biodiesel_tank[[#This Row],[Fuel Additions Amount (gallons)]]*Biodiesel_CF)</f>
        <v/>
      </c>
    </row>
    <row r="66" spans="2:6">
      <c r="B66" s="65"/>
      <c r="C66" s="61"/>
      <c r="D66" s="77"/>
      <c r="E66" s="78"/>
      <c r="F66" s="159" t="str">
        <f>IF(tbl_biodiesel_tank[[#This Row],[Fuel Additions Amount (gallons)]]="","",tbl_biodiesel_tank[[#This Row],[Percent B100 in Biodiesel Blend]]*tbl_biodiesel_tank[[#This Row],[Fuel Additions Amount (gallons)]]*Biodiesel_CF)</f>
        <v/>
      </c>
    </row>
    <row r="67" spans="2:6">
      <c r="B67" s="68"/>
      <c r="C67" s="231"/>
      <c r="D67" s="77"/>
      <c r="E67" s="78"/>
      <c r="F67" s="159" t="str">
        <f>IF(tbl_biodiesel_tank[[#This Row],[Fuel Additions Amount (gallons)]]="","",tbl_biodiesel_tank[[#This Row],[Percent B100 in Biodiesel Blend]]*tbl_biodiesel_tank[[#This Row],[Fuel Additions Amount (gallons)]]*Biodiesel_CF)</f>
        <v/>
      </c>
    </row>
    <row r="68" spans="2:6">
      <c r="B68" s="68"/>
      <c r="C68" s="230"/>
      <c r="D68" s="60"/>
      <c r="E68" s="69"/>
      <c r="F68" s="158" t="str">
        <f>IF(tbl_biodiesel_tank[[#This Row],[Fuel Additions Amount (gallons)]]="","",tbl_biodiesel_tank[[#This Row],[Percent B100 in Biodiesel Blend]]*tbl_biodiesel_tank[[#This Row],[Fuel Additions Amount (gallons)]]*Biodiesel_CF)</f>
        <v/>
      </c>
    </row>
  </sheetData>
  <mergeCells count="8">
    <mergeCell ref="F7:G9"/>
    <mergeCell ref="B2:G5"/>
    <mergeCell ref="D53:F54"/>
    <mergeCell ref="E46:F46"/>
    <mergeCell ref="B50:C50"/>
    <mergeCell ref="B51:C51"/>
    <mergeCell ref="B48:C48"/>
    <mergeCell ref="B49:C49"/>
  </mergeCells>
  <conditionalFormatting sqref="C53">
    <cfRule type="cellIs" dxfId="7" priority="3" operator="equal">
      <formula>FALSE</formula>
    </cfRule>
  </conditionalFormatting>
  <conditionalFormatting sqref="C54">
    <cfRule type="expression" dxfId="6" priority="2" stopIfTrue="1">
      <formula>$C$53=FALSE</formula>
    </cfRule>
  </conditionalFormatting>
  <conditionalFormatting sqref="D53">
    <cfRule type="expression" dxfId="5" priority="1" stopIfTrue="1">
      <formula>$C$53=FALSE</formula>
    </cfRule>
  </conditionalFormatting>
  <dataValidations xWindow="601" yWindow="575" count="5">
    <dataValidation allowBlank="1" showInputMessage="1" showErrorMessage="1" prompt="(not required) Enter VIN or other vehicle identifier._x000d_To add a new transaction, start typing in the cell just below the last entry in this column. A new row will be added automatically." sqref="B15" xr:uid="{00000000-0002-0000-0300-000000000000}"/>
    <dataValidation errorStyle="information" allowBlank="1" showInputMessage="1" showErrorMessage="1" error="Enter a description for the vehicle" sqref="B57:C68" xr:uid="{00000000-0002-0000-0300-000001000000}"/>
    <dataValidation allowBlank="1" showInputMessage="1" showErrorMessage="1" prompt="To add a new row, start typing in the cell below the last entry in this column. A new row will be added automatically." sqref="B56" xr:uid="{00000000-0002-0000-0300-000002000000}"/>
    <dataValidation type="date" allowBlank="1" showInputMessage="1" showErrorMessage="1" errorTitle="invalid date" error="The date you entered is not within the current model year. Please enter the date in text format mm-dd-yyyy" prompt="Enter the date in the format mm/dd/yyyy" sqref="D57:D68 E16:E35" xr:uid="{00000000-0002-0000-0300-000003000000}">
      <formula1>MYstart</formula1>
      <formula2>MYend</formula2>
    </dataValidation>
    <dataValidation allowBlank="1" showInputMessage="1" showErrorMessage="1" promptTitle="Paste from another spreadsheet" prompt="(1) If more space is needed, add rows to this sheet above line 37._x000d_(2) Format your worksheet with the same columns as in the table. _x000d_(3) Copy the data from your worksheet, select the first cell in the table &amp; paste using the paste special/values option" sqref="F7:G9" xr:uid="{00000000-0002-0000-0300-000004000000}"/>
  </dataValidations>
  <pageMargins left="0.75" right="0.75" top="1" bottom="1" header="0.5" footer="0.5"/>
  <pageSetup orientation="portrait"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19459" r:id="rId3" name="Check Box 3">
              <controlPr defaultSize="0" autoFill="0" autoLine="0" autoPict="0">
                <anchor moveWithCells="1">
                  <from>
                    <xdr:col>2</xdr:col>
                    <xdr:colOff>1600200</xdr:colOff>
                    <xdr:row>52</xdr:row>
                    <xdr:rowOff>12700</xdr:rowOff>
                  </from>
                  <to>
                    <xdr:col>2</xdr:col>
                    <xdr:colOff>2235200</xdr:colOff>
                    <xdr:row>53</xdr:row>
                    <xdr:rowOff>50800</xdr:rowOff>
                  </to>
                </anchor>
              </controlPr>
            </control>
          </mc:Choice>
        </mc:AlternateContent>
      </controls>
    </mc:Choice>
  </mc:AlternateContent>
  <tableParts count="2">
    <tablePart r:id="rId4"/>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Q566"/>
  <sheetViews>
    <sheetView showGridLines="0" workbookViewId="0">
      <selection activeCell="B13" sqref="B13:G14"/>
    </sheetView>
  </sheetViews>
  <sheetFormatPr baseColWidth="10" defaultColWidth="10.1640625" defaultRowHeight="16"/>
  <cols>
    <col min="2" max="2" width="27.6640625" customWidth="1"/>
    <col min="3" max="3" width="17.33203125" customWidth="1"/>
    <col min="4" max="4" width="19.33203125" customWidth="1"/>
    <col min="5" max="5" width="22.33203125" customWidth="1"/>
    <col min="6" max="6" width="16.1640625" customWidth="1"/>
    <col min="7" max="7" width="20.1640625" customWidth="1"/>
    <col min="8" max="8" width="15.83203125" customWidth="1"/>
    <col min="9" max="9" width="12" customWidth="1"/>
    <col min="10" max="10" width="21.33203125" customWidth="1"/>
    <col min="11" max="11" width="19.5" customWidth="1"/>
    <col min="12" max="12" width="13.1640625" customWidth="1"/>
    <col min="13" max="13" width="15.83203125" customWidth="1"/>
    <col min="14" max="16" width="13.1640625" customWidth="1"/>
  </cols>
  <sheetData>
    <row r="1" spans="1:17" ht="24">
      <c r="A1" s="30"/>
      <c r="B1" s="35" t="s">
        <v>223</v>
      </c>
      <c r="C1" s="31"/>
      <c r="D1" s="31"/>
      <c r="E1" s="30"/>
      <c r="F1" s="30"/>
      <c r="G1" s="30"/>
      <c r="H1" s="30"/>
      <c r="I1" s="30"/>
      <c r="J1" s="30"/>
      <c r="P1" s="30"/>
      <c r="Q1" s="30"/>
    </row>
    <row r="2" spans="1:17" ht="24" customHeight="1">
      <c r="A2" s="30"/>
      <c r="B2" s="400" t="s">
        <v>305</v>
      </c>
      <c r="C2" s="400"/>
      <c r="D2" s="400"/>
      <c r="E2" s="400"/>
      <c r="F2" s="400"/>
      <c r="G2" s="400"/>
      <c r="H2" s="400"/>
      <c r="I2" s="400"/>
      <c r="J2" s="400"/>
      <c r="K2" s="400"/>
      <c r="P2" s="30"/>
      <c r="Q2" s="30"/>
    </row>
    <row r="3" spans="1:17" ht="24" customHeight="1">
      <c r="A3" s="30"/>
      <c r="B3" s="400"/>
      <c r="C3" s="400"/>
      <c r="D3" s="400"/>
      <c r="E3" s="400"/>
      <c r="F3" s="400"/>
      <c r="G3" s="400"/>
      <c r="H3" s="400"/>
      <c r="I3" s="400"/>
      <c r="J3" s="400"/>
      <c r="K3" s="400"/>
      <c r="P3" s="30"/>
      <c r="Q3" s="30"/>
    </row>
    <row r="4" spans="1:17" ht="20" thickBot="1">
      <c r="A4" s="30"/>
      <c r="B4" s="31" t="s">
        <v>308</v>
      </c>
      <c r="C4" s="31"/>
      <c r="D4" s="31"/>
      <c r="E4" s="30"/>
      <c r="F4" s="30"/>
      <c r="G4" s="30"/>
      <c r="H4" s="30"/>
      <c r="I4" s="30"/>
      <c r="J4" s="30"/>
      <c r="P4" s="30"/>
      <c r="Q4" s="30"/>
    </row>
    <row r="5" spans="1:17" ht="24" customHeight="1">
      <c r="A5" s="30"/>
      <c r="B5" s="408" t="s">
        <v>321</v>
      </c>
      <c r="C5" s="409"/>
      <c r="D5" s="409"/>
      <c r="E5" s="409"/>
      <c r="F5" s="409"/>
      <c r="G5" s="409"/>
      <c r="H5" s="409"/>
      <c r="I5" s="409"/>
      <c r="J5" s="409"/>
      <c r="K5" s="410"/>
      <c r="P5" s="30"/>
      <c r="Q5" s="30"/>
    </row>
    <row r="6" spans="1:17" ht="17" thickBot="1">
      <c r="A6" s="30"/>
      <c r="B6" s="411"/>
      <c r="C6" s="412"/>
      <c r="D6" s="412"/>
      <c r="E6" s="412"/>
      <c r="F6" s="412"/>
      <c r="G6" s="412"/>
      <c r="H6" s="412"/>
      <c r="I6" s="412"/>
      <c r="J6" s="412"/>
      <c r="K6" s="413"/>
      <c r="P6" s="30"/>
      <c r="Q6" s="30"/>
    </row>
    <row r="7" spans="1:17" ht="19">
      <c r="B7" s="31"/>
      <c r="C7" s="56"/>
      <c r="D7" s="31"/>
    </row>
    <row r="8" spans="1:17" ht="31.5" customHeight="1">
      <c r="B8" s="31" t="s">
        <v>87</v>
      </c>
      <c r="C8" s="162">
        <f>SUM(tbl_VMTred[GGE of Petroleum Reduction (GGE/year)])</f>
        <v>0</v>
      </c>
      <c r="D8" s="31" t="s">
        <v>54</v>
      </c>
    </row>
    <row r="9" spans="1:17" ht="19" customHeight="1">
      <c r="B9" s="31"/>
      <c r="D9" s="31"/>
    </row>
    <row r="10" spans="1:17" ht="20" customHeight="1" thickBot="1">
      <c r="B10" s="140" t="s">
        <v>286</v>
      </c>
      <c r="C10" s="141"/>
      <c r="D10" s="141"/>
      <c r="E10" s="141"/>
      <c r="F10" s="141"/>
      <c r="G10" s="142"/>
      <c r="H10" s="142"/>
      <c r="I10" s="142"/>
      <c r="J10" s="142"/>
      <c r="K10" s="142"/>
    </row>
    <row r="11" spans="1:17" ht="20" thickBot="1">
      <c r="B11" s="86" t="s">
        <v>84</v>
      </c>
      <c r="C11" s="88"/>
      <c r="D11" s="88"/>
      <c r="E11" s="88"/>
      <c r="F11" s="89"/>
      <c r="G11" s="89"/>
      <c r="H11" s="89"/>
      <c r="I11" s="89"/>
      <c r="J11" s="89"/>
      <c r="K11" s="90"/>
    </row>
    <row r="12" spans="1:17" ht="93" customHeight="1" thickBot="1">
      <c r="B12" s="36" t="s">
        <v>206</v>
      </c>
      <c r="C12" s="36" t="s">
        <v>140</v>
      </c>
      <c r="D12" s="36" t="s">
        <v>207</v>
      </c>
      <c r="E12" s="36" t="s">
        <v>208</v>
      </c>
      <c r="F12" s="37" t="s">
        <v>149</v>
      </c>
      <c r="G12" s="38" t="s">
        <v>209</v>
      </c>
      <c r="H12" s="38" t="s">
        <v>53</v>
      </c>
      <c r="I12" s="38" t="s">
        <v>60</v>
      </c>
      <c r="J12" s="38" t="s">
        <v>85</v>
      </c>
      <c r="K12" s="39" t="s">
        <v>86</v>
      </c>
    </row>
    <row r="13" spans="1:17" ht="17">
      <c r="B13" s="49"/>
      <c r="C13" s="239"/>
      <c r="D13" s="240"/>
      <c r="E13" s="240"/>
      <c r="F13" s="242"/>
      <c r="G13" s="239"/>
      <c r="H13" s="163" t="str">
        <f t="shared" ref="H13:H18" si="0">IF(G13="","",VLOOKUP(F13,Tbl_Fuel_Conversions,2,FALSE))</f>
        <v/>
      </c>
      <c r="I13" s="163" t="str">
        <f t="shared" ref="I13:I18" si="1">IF(G13="","",VLOOKUP(F13,Tbl_Fuel_Conversions,3,FALSE))</f>
        <v/>
      </c>
      <c r="J13" s="164" t="str">
        <f t="shared" ref="J13:J18" si="2">IF(G13="","",G13/I13)</f>
        <v/>
      </c>
      <c r="K13" s="165" t="str">
        <f t="shared" ref="K13:K18" si="3">IF(C13="","",C13*(D13-E13)/J13)</f>
        <v/>
      </c>
    </row>
    <row r="14" spans="1:17">
      <c r="B14" s="50"/>
      <c r="C14" s="51"/>
      <c r="D14" s="149"/>
      <c r="E14" s="149"/>
      <c r="F14" s="243"/>
      <c r="G14" s="51"/>
      <c r="H14" s="232" t="str">
        <f t="shared" si="0"/>
        <v/>
      </c>
      <c r="I14" s="232" t="str">
        <f t="shared" si="1"/>
        <v/>
      </c>
      <c r="J14" s="233" t="str">
        <f t="shared" si="2"/>
        <v/>
      </c>
      <c r="K14" s="233" t="str">
        <f t="shared" si="3"/>
        <v/>
      </c>
    </row>
    <row r="15" spans="1:17">
      <c r="B15" s="234"/>
      <c r="C15" s="234"/>
      <c r="D15" s="235"/>
      <c r="E15" s="235"/>
      <c r="F15" s="244"/>
      <c r="G15" s="234"/>
      <c r="H15" s="241" t="str">
        <f t="shared" si="0"/>
        <v/>
      </c>
      <c r="I15" s="241" t="str">
        <f t="shared" si="1"/>
        <v/>
      </c>
      <c r="J15" s="241" t="str">
        <f t="shared" si="2"/>
        <v/>
      </c>
      <c r="K15" s="241" t="str">
        <f t="shared" si="3"/>
        <v/>
      </c>
    </row>
    <row r="16" spans="1:17">
      <c r="B16" s="234"/>
      <c r="C16" s="234"/>
      <c r="D16" s="235"/>
      <c r="E16" s="235"/>
      <c r="F16" s="244"/>
      <c r="G16" s="234"/>
      <c r="H16" s="241" t="str">
        <f t="shared" si="0"/>
        <v/>
      </c>
      <c r="I16" s="241" t="str">
        <f t="shared" si="1"/>
        <v/>
      </c>
      <c r="J16" s="241" t="str">
        <f t="shared" si="2"/>
        <v/>
      </c>
      <c r="K16" s="241" t="str">
        <f t="shared" si="3"/>
        <v/>
      </c>
    </row>
    <row r="17" spans="2:11">
      <c r="B17" s="234"/>
      <c r="C17" s="234"/>
      <c r="D17" s="235"/>
      <c r="E17" s="235"/>
      <c r="F17" s="244"/>
      <c r="G17" s="234"/>
      <c r="H17" s="241" t="str">
        <f t="shared" si="0"/>
        <v/>
      </c>
      <c r="I17" s="241" t="str">
        <f t="shared" si="1"/>
        <v/>
      </c>
      <c r="J17" s="241" t="str">
        <f t="shared" si="2"/>
        <v/>
      </c>
      <c r="K17" s="241" t="str">
        <f t="shared" si="3"/>
        <v/>
      </c>
    </row>
    <row r="18" spans="2:11">
      <c r="B18" s="76"/>
      <c r="C18" s="76"/>
      <c r="D18" s="237"/>
      <c r="E18" s="237"/>
      <c r="F18" s="245"/>
      <c r="G18" s="76"/>
      <c r="H18" s="236" t="str">
        <f t="shared" si="0"/>
        <v/>
      </c>
      <c r="I18" s="236" t="str">
        <f t="shared" si="1"/>
        <v/>
      </c>
      <c r="J18" s="236" t="str">
        <f t="shared" si="2"/>
        <v/>
      </c>
      <c r="K18" s="238" t="str">
        <f t="shared" si="3"/>
        <v/>
      </c>
    </row>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row r="547" customFormat="1"/>
    <row r="548" customFormat="1"/>
    <row r="549" customFormat="1"/>
    <row r="550" customFormat="1"/>
    <row r="551" customFormat="1"/>
    <row r="552" customFormat="1"/>
    <row r="553" customFormat="1"/>
    <row r="554" customFormat="1"/>
    <row r="555" customFormat="1"/>
    <row r="556" customFormat="1"/>
    <row r="557" customFormat="1"/>
    <row r="558" customFormat="1"/>
    <row r="559" customFormat="1"/>
    <row r="560" customFormat="1"/>
    <row r="561" customFormat="1"/>
    <row r="562" customFormat="1"/>
    <row r="563" customFormat="1"/>
    <row r="564" customFormat="1"/>
    <row r="565" customFormat="1"/>
    <row r="566" customFormat="1"/>
  </sheetData>
  <mergeCells count="2">
    <mergeCell ref="B2:K3"/>
    <mergeCell ref="B5:K6"/>
  </mergeCells>
  <conditionalFormatting sqref="B5:K6">
    <cfRule type="containsBlanks" dxfId="4" priority="1">
      <formula>LEN(TRIM(B5))=0</formula>
    </cfRule>
  </conditionalFormatting>
  <dataValidations xWindow="482" yWindow="539" count="6">
    <dataValidation allowBlank="1" showInputMessage="1" showErrorMessage="1" prompt="To add a new row, start typing in the cell below the last entry in this column. A new row will be added automatically." sqref="B12" xr:uid="{00000000-0002-0000-0400-000000000000}"/>
    <dataValidation allowBlank="1" showInputMessage="1" showErrorMessage="1" promptTitle="Enter a value" prompt="Enter the average miles traveled per year per vehicle" sqref="D13:D18" xr:uid="{00000000-0002-0000-0400-000001000000}"/>
    <dataValidation allowBlank="1" showInputMessage="1" showErrorMessage="1" promptTitle="Enter a value" prompt="Enter the average new reduced miles traveled per vehicle per year." sqref="E13:E18" xr:uid="{00000000-0002-0000-0400-000002000000}"/>
    <dataValidation type="list" allowBlank="1" showInputMessage="1" showErrorMessage="1" prompt="Select from dropdown list" sqref="F13:F18" xr:uid="{00000000-0002-0000-0400-000003000000}">
      <formula1>Conv_Fuels_List</formula1>
    </dataValidation>
    <dataValidation allowBlank="1" showInputMessage="1" showErrorMessage="1" prompt="Enter the make and model" sqref="B13:B18" xr:uid="{00000000-0002-0000-0400-000004000000}"/>
    <dataValidation allowBlank="1" showInputMessage="1" showErrorMessage="1" prompt="Enter the number of vehicles" sqref="C13:C18" xr:uid="{00000000-0002-0000-0400-000005000000}"/>
  </dataValidations>
  <pageMargins left="0.75" right="0.75" top="1" bottom="1" header="0.5" footer="0.5"/>
  <pageSetup orientation="portrait" horizontalDpi="4294967292" verticalDpi="4294967292"/>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Q63"/>
  <sheetViews>
    <sheetView showGridLines="0" topLeftCell="A13" workbookViewId="0">
      <selection activeCell="B34" sqref="B34:J34"/>
    </sheetView>
  </sheetViews>
  <sheetFormatPr baseColWidth="10" defaultColWidth="10.1640625" defaultRowHeight="16"/>
  <cols>
    <col min="2" max="2" width="26.1640625" customWidth="1"/>
    <col min="3" max="3" width="30" customWidth="1"/>
    <col min="4" max="4" width="14.83203125" customWidth="1"/>
    <col min="5" max="5" width="16.33203125" customWidth="1"/>
    <col min="6" max="6" width="14.83203125" customWidth="1"/>
    <col min="7" max="7" width="15.83203125" customWidth="1"/>
    <col min="8" max="8" width="11.5" customWidth="1"/>
    <col min="9" max="9" width="16.1640625" customWidth="1"/>
    <col min="10" max="10" width="14" customWidth="1"/>
    <col min="11" max="11" width="10.6640625" customWidth="1"/>
    <col min="12" max="12" width="11.6640625" customWidth="1"/>
    <col min="13" max="13" width="19.1640625" customWidth="1"/>
    <col min="14" max="14" width="15.6640625" customWidth="1"/>
    <col min="15" max="15" width="19.33203125" customWidth="1"/>
    <col min="16" max="16" width="15.33203125" customWidth="1"/>
    <col min="17" max="17" width="14" customWidth="1"/>
    <col min="18" max="18" width="16.33203125" customWidth="1"/>
    <col min="19" max="19" width="17" customWidth="1"/>
    <col min="20" max="20" width="10.6640625" customWidth="1"/>
  </cols>
  <sheetData>
    <row r="1" spans="1:17" ht="24">
      <c r="A1" s="30"/>
      <c r="B1" s="35" t="s">
        <v>224</v>
      </c>
      <c r="C1" s="31"/>
      <c r="D1" s="31"/>
      <c r="E1" s="30"/>
      <c r="F1" s="30"/>
      <c r="G1" s="30"/>
      <c r="H1" s="30"/>
      <c r="I1" s="30"/>
      <c r="J1" s="30"/>
      <c r="P1" s="30"/>
      <c r="Q1" s="30"/>
    </row>
    <row r="2" spans="1:17" ht="19">
      <c r="A2" s="30"/>
      <c r="B2" s="414" t="s">
        <v>296</v>
      </c>
      <c r="C2" s="414"/>
      <c r="D2" s="414"/>
      <c r="E2" s="414"/>
      <c r="F2" s="414"/>
      <c r="G2" s="414"/>
      <c r="H2" s="414"/>
      <c r="I2" s="414"/>
      <c r="J2" s="414"/>
      <c r="K2" s="414"/>
      <c r="L2" s="414"/>
      <c r="M2" s="414"/>
      <c r="N2" s="414"/>
      <c r="O2" s="414"/>
      <c r="P2" s="414"/>
      <c r="Q2" s="30"/>
    </row>
    <row r="3" spans="1:17" ht="19">
      <c r="A3" s="30"/>
      <c r="B3" s="40" t="s">
        <v>310</v>
      </c>
      <c r="C3" s="71"/>
      <c r="D3" s="71"/>
      <c r="E3" s="71"/>
      <c r="F3" s="71"/>
      <c r="G3" s="71"/>
      <c r="H3" s="71"/>
      <c r="I3" s="71"/>
      <c r="J3" s="71"/>
      <c r="K3" s="71"/>
      <c r="L3" s="71"/>
      <c r="M3" s="71"/>
      <c r="N3" s="71"/>
      <c r="O3" s="71"/>
      <c r="P3" s="71"/>
      <c r="Q3" s="30"/>
    </row>
    <row r="4" spans="1:17" ht="19">
      <c r="A4" s="30"/>
      <c r="B4" s="71"/>
      <c r="C4" s="71"/>
      <c r="D4" s="71"/>
      <c r="E4" s="71"/>
      <c r="F4" s="71"/>
      <c r="G4" s="71"/>
      <c r="H4" s="71"/>
      <c r="I4" s="71"/>
      <c r="J4" s="71"/>
      <c r="K4" s="71"/>
      <c r="L4" s="71"/>
      <c r="M4" s="71"/>
      <c r="N4" s="71"/>
      <c r="O4" s="71"/>
      <c r="P4" s="71"/>
      <c r="Q4" s="30"/>
    </row>
    <row r="5" spans="1:17" ht="34">
      <c r="A5" s="30"/>
      <c r="B5" s="300" t="s">
        <v>172</v>
      </c>
      <c r="C5" s="416" t="s">
        <v>217</v>
      </c>
      <c r="D5" s="416"/>
      <c r="E5" s="416"/>
      <c r="F5" s="416"/>
      <c r="G5" s="416"/>
      <c r="H5" s="416"/>
      <c r="I5" s="416"/>
      <c r="J5" s="416"/>
      <c r="K5" s="71"/>
      <c r="L5" s="71"/>
      <c r="M5" s="71"/>
      <c r="N5" s="71"/>
      <c r="O5" s="71"/>
      <c r="P5" s="71"/>
      <c r="Q5" s="30"/>
    </row>
    <row r="6" spans="1:17" ht="19">
      <c r="A6" s="30"/>
      <c r="B6" s="71"/>
      <c r="C6" s="71"/>
      <c r="D6" s="71"/>
      <c r="E6" s="71"/>
      <c r="F6" s="71"/>
      <c r="G6" s="71"/>
      <c r="H6" s="71"/>
      <c r="I6" s="71"/>
      <c r="J6" s="71"/>
      <c r="K6" s="71"/>
      <c r="L6" s="71"/>
      <c r="M6" s="71"/>
      <c r="N6" s="71"/>
      <c r="O6" s="71"/>
      <c r="P6" s="71"/>
      <c r="Q6" s="30"/>
    </row>
    <row r="7" spans="1:17" ht="34">
      <c r="A7" s="30"/>
      <c r="B7" s="300" t="s">
        <v>170</v>
      </c>
      <c r="C7" s="416" t="s">
        <v>169</v>
      </c>
      <c r="D7" s="416"/>
      <c r="E7" s="416"/>
      <c r="F7" s="416"/>
      <c r="G7" s="416"/>
      <c r="H7" s="416"/>
      <c r="I7" s="416"/>
      <c r="J7" s="416"/>
      <c r="K7" s="71"/>
      <c r="L7" s="71"/>
      <c r="M7" s="71"/>
      <c r="N7" s="71"/>
      <c r="O7" s="71"/>
      <c r="P7" s="71"/>
      <c r="Q7" s="30"/>
    </row>
    <row r="8" spans="1:17" ht="19">
      <c r="A8" s="30"/>
      <c r="B8" s="71"/>
      <c r="C8" s="71"/>
      <c r="D8" s="71"/>
      <c r="E8" s="71"/>
      <c r="F8" s="71"/>
      <c r="G8" s="71"/>
      <c r="H8" s="71"/>
      <c r="I8" s="71"/>
      <c r="J8" s="71"/>
      <c r="K8" s="71"/>
      <c r="L8" s="71"/>
      <c r="M8" s="71"/>
      <c r="N8" s="71"/>
      <c r="O8" s="71"/>
      <c r="P8" s="71"/>
      <c r="Q8" s="30"/>
    </row>
    <row r="9" spans="1:17" ht="34">
      <c r="A9" s="30"/>
      <c r="B9" s="300" t="s">
        <v>171</v>
      </c>
      <c r="C9" s="416" t="s">
        <v>168</v>
      </c>
      <c r="D9" s="416"/>
      <c r="E9" s="416"/>
      <c r="F9" s="416"/>
      <c r="G9" s="416"/>
      <c r="H9" s="416"/>
      <c r="I9" s="416"/>
      <c r="J9" s="416"/>
      <c r="K9" s="71"/>
      <c r="L9" s="71"/>
      <c r="M9" s="71"/>
      <c r="N9" s="71"/>
      <c r="O9" s="71"/>
      <c r="P9" s="71"/>
      <c r="Q9" s="30"/>
    </row>
    <row r="10" spans="1:17" ht="19">
      <c r="A10" s="30"/>
      <c r="B10" s="71"/>
      <c r="C10" s="71"/>
      <c r="D10" s="71"/>
      <c r="E10" s="71"/>
      <c r="F10" s="71"/>
      <c r="G10" s="71"/>
      <c r="H10" s="71"/>
      <c r="I10" s="71"/>
      <c r="J10" s="71"/>
      <c r="K10" s="71"/>
      <c r="L10" s="71"/>
      <c r="M10" s="71"/>
      <c r="N10" s="71"/>
      <c r="O10" s="71"/>
      <c r="P10" s="71"/>
      <c r="Q10" s="30"/>
    </row>
    <row r="11" spans="1:17" ht="19">
      <c r="A11" s="30"/>
      <c r="B11" s="71"/>
      <c r="C11" s="71"/>
      <c r="D11" s="71"/>
      <c r="E11" s="71"/>
      <c r="F11" s="71"/>
      <c r="G11" s="71"/>
      <c r="H11" s="71"/>
      <c r="I11" s="71"/>
      <c r="J11" s="71"/>
      <c r="K11" s="71"/>
      <c r="L11" s="71"/>
      <c r="M11" s="71"/>
      <c r="N11" s="71"/>
      <c r="O11" s="71"/>
      <c r="P11" s="71"/>
      <c r="Q11" s="30"/>
    </row>
    <row r="12" spans="1:17" ht="19">
      <c r="B12" s="31" t="s">
        <v>87</v>
      </c>
      <c r="D12" s="162">
        <f>SUM(tbl_IdleRed_Input[GGE of Petroleum Reduction (GGE/year)])+ SUM(tbl_TrkStop_Electrification[Petroleum Reduction (GGE/year)])+SUM(tbl_OnboardIdle_red[Petroleum Reduction (GGE/year)])</f>
        <v>0</v>
      </c>
      <c r="E12" s="31" t="s">
        <v>54</v>
      </c>
    </row>
    <row r="13" spans="1:17" ht="19">
      <c r="B13" s="31"/>
      <c r="E13" s="31"/>
    </row>
    <row r="14" spans="1:17" ht="35" customHeight="1" thickBot="1">
      <c r="B14" s="421" t="s">
        <v>286</v>
      </c>
      <c r="C14" s="421"/>
      <c r="D14" s="421"/>
      <c r="E14" s="421"/>
      <c r="F14" s="421"/>
      <c r="G14" s="421"/>
      <c r="H14" s="421"/>
    </row>
    <row r="15" spans="1:17" ht="19">
      <c r="B15" s="422" t="s">
        <v>172</v>
      </c>
      <c r="C15" s="423"/>
      <c r="D15" s="423"/>
      <c r="E15" s="423"/>
      <c r="F15" s="423"/>
      <c r="G15" s="423"/>
      <c r="H15" s="424"/>
    </row>
    <row r="16" spans="1:17" ht="39" customHeight="1" thickBot="1">
      <c r="B16" s="425" t="s">
        <v>217</v>
      </c>
      <c r="C16" s="426"/>
      <c r="D16" s="426"/>
      <c r="E16" s="426"/>
      <c r="F16" s="426"/>
      <c r="G16" s="426"/>
      <c r="H16" s="427"/>
    </row>
    <row r="17" spans="2:12" ht="76" customHeight="1">
      <c r="B17" s="306" t="s">
        <v>342</v>
      </c>
      <c r="C17" s="307" t="s">
        <v>343</v>
      </c>
      <c r="D17" s="307" t="s">
        <v>344</v>
      </c>
      <c r="E17" s="307" t="s">
        <v>345</v>
      </c>
      <c r="F17" s="307" t="s">
        <v>346</v>
      </c>
      <c r="G17" s="307" t="s">
        <v>347</v>
      </c>
      <c r="H17" s="308" t="s">
        <v>167</v>
      </c>
    </row>
    <row r="18" spans="2:12" ht="18" customHeight="1">
      <c r="B18" s="234"/>
      <c r="C18" s="234"/>
      <c r="D18" s="319"/>
      <c r="E18" s="244"/>
      <c r="F18" s="234"/>
      <c r="G18" s="314"/>
      <c r="H18" s="315">
        <f>IFERROR(tbl_OnboardIdle_red[[#This Row],[Number of vehicles]]*tbl_OnboardIdle_red[[#This Row],[hours / year PTO use]]*INDEX(TBL_APU_GGE_Savings[],MATCH(tbl_OnboardIdle_red[[#This Row],[Type of Idle Reduction Equipment]],TBL_APU_GGE_Savings[Onboard IR Type],0),MATCH(tbl_OnboardIdle_red[[#This Row],[APU Fuel Type]],TBL_APU_GGE_Savings[#Headers],0)),0)</f>
        <v>0</v>
      </c>
    </row>
    <row r="19" spans="2:12">
      <c r="B19" s="234"/>
      <c r="C19" s="234"/>
      <c r="D19" s="319"/>
      <c r="E19" s="244"/>
      <c r="F19" s="234"/>
      <c r="G19" s="314"/>
      <c r="H19" s="315">
        <f>IFERROR(tbl_OnboardIdle_red[[#This Row],[Number of vehicles]]*tbl_OnboardIdle_red[[#This Row],[hours / year PTO use]]*INDEX(TBL_APU_GGE_Savings[],MATCH(tbl_OnboardIdle_red[[#This Row],[Type of Idle Reduction Equipment]],TBL_APU_GGE_Savings[Onboard IR Type],0),MATCH(tbl_OnboardIdle_red[[#This Row],[APU Fuel Type]],TBL_APU_GGE_Savings[#Headers],0)),0)</f>
        <v>0</v>
      </c>
    </row>
    <row r="20" spans="2:12">
      <c r="B20" s="234"/>
      <c r="C20" s="234"/>
      <c r="D20" s="319"/>
      <c r="E20" s="244"/>
      <c r="F20" s="234"/>
      <c r="G20" s="314"/>
      <c r="H20" s="315">
        <f>IFERROR(tbl_OnboardIdle_red[[#This Row],[Number of vehicles]]*tbl_OnboardIdle_red[[#This Row],[hours / year PTO use]]*INDEX(TBL_APU_GGE_Savings[],MATCH(tbl_OnboardIdle_red[[#This Row],[Type of Idle Reduction Equipment]],TBL_APU_GGE_Savings[Onboard IR Type],0),MATCH(tbl_OnboardIdle_red[[#This Row],[APU Fuel Type]],TBL_APU_GGE_Savings[#Headers],0)),0)</f>
        <v>0</v>
      </c>
    </row>
    <row r="25" spans="2:12" ht="17" thickBot="1"/>
    <row r="26" spans="2:12" ht="17" thickTop="1">
      <c r="B26" s="143" t="s">
        <v>287</v>
      </c>
      <c r="C26" s="143"/>
      <c r="D26" s="143"/>
      <c r="E26" s="143"/>
      <c r="F26" s="143"/>
      <c r="G26" s="143"/>
      <c r="H26" s="143"/>
      <c r="I26" s="143"/>
    </row>
    <row r="29" spans="2:12" ht="17" thickBot="1">
      <c r="B29" s="166" t="s">
        <v>286</v>
      </c>
      <c r="C29" s="166"/>
      <c r="D29" s="166"/>
      <c r="E29" s="166"/>
      <c r="F29" s="166"/>
      <c r="G29" s="166"/>
      <c r="H29" s="166"/>
      <c r="I29" s="166"/>
      <c r="J29" s="167"/>
      <c r="K29" s="150"/>
      <c r="L29" s="150"/>
    </row>
    <row r="30" spans="2:12" ht="19">
      <c r="B30" s="83" t="s">
        <v>170</v>
      </c>
      <c r="C30" s="91"/>
      <c r="D30" s="91"/>
      <c r="E30" s="91"/>
      <c r="F30" s="91"/>
      <c r="G30" s="91"/>
      <c r="H30" s="91"/>
      <c r="I30" s="91"/>
      <c r="J30" s="91"/>
      <c r="K30" s="91"/>
      <c r="L30" s="92"/>
    </row>
    <row r="31" spans="2:12" ht="19">
      <c r="B31" s="93" t="s">
        <v>169</v>
      </c>
      <c r="L31" s="94"/>
    </row>
    <row r="32" spans="2:12" ht="17" thickBot="1">
      <c r="B32" s="95"/>
      <c r="C32" s="96"/>
      <c r="D32" s="96"/>
      <c r="E32" s="96"/>
      <c r="F32" s="96"/>
      <c r="G32" s="96"/>
      <c r="H32" s="96"/>
      <c r="I32" s="96"/>
      <c r="J32" s="96"/>
      <c r="K32" s="96"/>
      <c r="L32" s="97"/>
    </row>
    <row r="33" spans="2:16" ht="104" customHeight="1" thickBot="1">
      <c r="B33" s="79" t="s">
        <v>145</v>
      </c>
      <c r="C33" s="79" t="s">
        <v>146</v>
      </c>
      <c r="D33" s="79" t="s">
        <v>140</v>
      </c>
      <c r="E33" s="79" t="s">
        <v>147</v>
      </c>
      <c r="F33" s="79" t="s">
        <v>148</v>
      </c>
      <c r="G33" s="80" t="s">
        <v>149</v>
      </c>
      <c r="H33" s="80" t="s">
        <v>150</v>
      </c>
      <c r="I33" s="81" t="s">
        <v>214</v>
      </c>
      <c r="J33" s="81" t="s">
        <v>151</v>
      </c>
      <c r="K33" s="81" t="s">
        <v>60</v>
      </c>
      <c r="L33" s="82" t="s">
        <v>86</v>
      </c>
    </row>
    <row r="34" spans="2:16">
      <c r="B34" s="250"/>
      <c r="C34" s="246"/>
      <c r="D34" s="170"/>
      <c r="E34" s="170"/>
      <c r="F34" s="170"/>
      <c r="G34" s="247"/>
      <c r="H34" s="247"/>
      <c r="I34" s="247"/>
      <c r="J34" s="247"/>
      <c r="K34" s="171" t="str">
        <f>IF(tbl_IdleRed_Input[[#This Row],[*Fuel Used in Vehicle]]="","",VLOOKUP(tbl_IdleRed_Input[[#This Row],[*Fuel Used in Vehicle]],Tbl_Fuel_Conversions,3,FALSE))</f>
        <v/>
      </c>
      <c r="L34" s="252" t="str">
        <f>IF(tbl_IdleRed_Input[[#This Row],[*Number of Vehicles]]="","",(tbl_IdleRed_Input[[#This Row],[*Average Previous Idling Time of Vehicles (hours/day)]]-tbl_IdleRed_Input[[#This Row],[*Average New Idling Time of Vehicles (hours/day)]])*tbl_IdleRed_Input[[#This Row],[*Work Days per Year]]*tbl_IdleRed_Input[[#This Row],[*Idling Fuel Use (gal/h)]]*tbl_IdleRed_Input[[#This Row],[GGE Conversion Factor]]*tbl_IdleRed_Input[[#This Row],[*Number of Vehicles]])</f>
        <v/>
      </c>
    </row>
    <row r="35" spans="2:16">
      <c r="B35" s="251"/>
      <c r="C35" s="248"/>
      <c r="D35" s="172"/>
      <c r="E35" s="172"/>
      <c r="F35" s="172"/>
      <c r="G35" s="249"/>
      <c r="H35" s="249"/>
      <c r="I35" s="249"/>
      <c r="J35" s="249"/>
      <c r="K35" s="173" t="str">
        <f>IF(tbl_IdleRed_Input[[#This Row],[*Fuel Used in Vehicle]]="","",VLOOKUP(tbl_IdleRed_Input[[#This Row],[*Fuel Used in Vehicle]],Tbl_Fuel_Conversions,3,FALSE))</f>
        <v/>
      </c>
      <c r="L35" s="253" t="str">
        <f>IF(tbl_IdleRed_Input[[#This Row],[*Number of Vehicles]]="","",(tbl_IdleRed_Input[[#This Row],[*Average Previous Idling Time of Vehicles (hours/day)]]-tbl_IdleRed_Input[[#This Row],[*Average New Idling Time of Vehicles (hours/day)]])*tbl_IdleRed_Input[[#This Row],[*Work Days per Year]]*tbl_IdleRed_Input[[#This Row],[*Idling Fuel Use (gal/h)]]*tbl_IdleRed_Input[[#This Row],[GGE Conversion Factor]]*tbl_IdleRed_Input[[#This Row],[*Number of Vehicles]])</f>
        <v/>
      </c>
    </row>
    <row r="36" spans="2:16">
      <c r="B36" s="251"/>
      <c r="C36" s="248"/>
      <c r="D36" s="172"/>
      <c r="E36" s="172"/>
      <c r="F36" s="172"/>
      <c r="G36" s="249"/>
      <c r="H36" s="249"/>
      <c r="I36" s="249"/>
      <c r="J36" s="249"/>
      <c r="K36" s="173" t="str">
        <f>IF(tbl_IdleRed_Input[[#This Row],[*Fuel Used in Vehicle]]="","",VLOOKUP(tbl_IdleRed_Input[[#This Row],[*Fuel Used in Vehicle]],Tbl_Fuel_Conversions,3,FALSE))</f>
        <v/>
      </c>
      <c r="L36" s="253" t="str">
        <f>IF(tbl_IdleRed_Input[[#This Row],[*Number of Vehicles]]="","",(tbl_IdleRed_Input[[#This Row],[*Average Previous Idling Time of Vehicles (hours/day)]]-tbl_IdleRed_Input[[#This Row],[*Average New Idling Time of Vehicles (hours/day)]])*tbl_IdleRed_Input[[#This Row],[*Work Days per Year]]*tbl_IdleRed_Input[[#This Row],[*Idling Fuel Use (gal/h)]]*tbl_IdleRed_Input[[#This Row],[GGE Conversion Factor]]*tbl_IdleRed_Input[[#This Row],[*Number of Vehicles]])</f>
        <v/>
      </c>
    </row>
    <row r="37" spans="2:16">
      <c r="B37" s="251"/>
      <c r="C37" s="248"/>
      <c r="D37" s="172"/>
      <c r="E37" s="172"/>
      <c r="F37" s="172"/>
      <c r="G37" s="249"/>
      <c r="H37" s="249"/>
      <c r="I37" s="249"/>
      <c r="J37" s="249"/>
      <c r="K37" s="173" t="str">
        <f>IF(tbl_IdleRed_Input[[#This Row],[*Fuel Used in Vehicle]]="","",VLOOKUP(tbl_IdleRed_Input[[#This Row],[*Fuel Used in Vehicle]],Tbl_Fuel_Conversions,3,FALSE))</f>
        <v/>
      </c>
      <c r="L37" s="253" t="str">
        <f>IF(tbl_IdleRed_Input[[#This Row],[*Number of Vehicles]]="","",(tbl_IdleRed_Input[[#This Row],[*Average Previous Idling Time of Vehicles (hours/day)]]-tbl_IdleRed_Input[[#This Row],[*Average New Idling Time of Vehicles (hours/day)]])*tbl_IdleRed_Input[[#This Row],[*Work Days per Year]]*tbl_IdleRed_Input[[#This Row],[*Idling Fuel Use (gal/h)]]*tbl_IdleRed_Input[[#This Row],[GGE Conversion Factor]]*tbl_IdleRed_Input[[#This Row],[*Number of Vehicles]])</f>
        <v/>
      </c>
    </row>
    <row r="38" spans="2:16">
      <c r="B38" s="254"/>
      <c r="C38" s="255"/>
      <c r="D38" s="256"/>
      <c r="E38" s="256"/>
      <c r="F38" s="256"/>
      <c r="G38" s="257"/>
      <c r="H38" s="257"/>
      <c r="I38" s="257"/>
      <c r="J38" s="257"/>
      <c r="K38" s="258" t="str">
        <f>IF(tbl_IdleRed_Input[[#This Row],[*Fuel Used in Vehicle]]="","",VLOOKUP(tbl_IdleRed_Input[[#This Row],[*Fuel Used in Vehicle]],Tbl_Fuel_Conversions,3,FALSE))</f>
        <v/>
      </c>
      <c r="L38" s="259" t="str">
        <f>IF(tbl_IdleRed_Input[[#This Row],[*Number of Vehicles]]="","",(tbl_IdleRed_Input[[#This Row],[*Average Previous Idling Time of Vehicles (hours/day)]]-tbl_IdleRed_Input[[#This Row],[*Average New Idling Time of Vehicles (hours/day)]])*tbl_IdleRed_Input[[#This Row],[*Work Days per Year]]*tbl_IdleRed_Input[[#This Row],[*Idling Fuel Use (gal/h)]]*tbl_IdleRed_Input[[#This Row],[GGE Conversion Factor]]*tbl_IdleRed_Input[[#This Row],[*Number of Vehicles]])</f>
        <v/>
      </c>
    </row>
    <row r="42" spans="2:16" ht="17" thickBot="1"/>
    <row r="43" spans="2:16" ht="17" thickTop="1">
      <c r="B43" s="143" t="s">
        <v>287</v>
      </c>
      <c r="C43" s="143"/>
      <c r="D43" s="143"/>
      <c r="E43" s="143"/>
      <c r="F43" s="143"/>
      <c r="G43" s="143"/>
      <c r="H43" s="143"/>
      <c r="I43" s="143"/>
      <c r="J43" s="143"/>
      <c r="K43" s="143"/>
      <c r="L43" s="143"/>
    </row>
    <row r="45" spans="2:16" ht="19">
      <c r="M45" s="71"/>
      <c r="N45" s="71"/>
      <c r="O45" s="71"/>
      <c r="P45" s="71"/>
    </row>
    <row r="48" spans="2:16" ht="17" thickBot="1">
      <c r="B48" s="140" t="s">
        <v>289</v>
      </c>
      <c r="C48" s="141"/>
      <c r="D48" s="141"/>
      <c r="E48" s="141"/>
      <c r="F48" s="141"/>
      <c r="G48" s="142"/>
    </row>
    <row r="49" spans="2:12" ht="19">
      <c r="B49" s="83" t="s">
        <v>171</v>
      </c>
      <c r="C49" s="91"/>
      <c r="D49" s="91"/>
      <c r="E49" s="91"/>
      <c r="F49" s="91"/>
      <c r="G49" s="92"/>
    </row>
    <row r="50" spans="2:12" ht="17" customHeight="1">
      <c r="B50" s="415" t="s">
        <v>168</v>
      </c>
      <c r="C50" s="416"/>
      <c r="D50" s="416"/>
      <c r="E50" s="416"/>
      <c r="F50" s="416"/>
      <c r="G50" s="417"/>
      <c r="H50" s="72"/>
      <c r="I50" s="72"/>
      <c r="J50" s="71"/>
      <c r="K50" s="71"/>
      <c r="L50" s="71"/>
    </row>
    <row r="51" spans="2:12" ht="18" customHeight="1" thickBot="1">
      <c r="B51" s="418"/>
      <c r="C51" s="419"/>
      <c r="D51" s="419"/>
      <c r="E51" s="419"/>
      <c r="F51" s="419"/>
      <c r="G51" s="420"/>
    </row>
    <row r="52" spans="2:12" ht="67" customHeight="1">
      <c r="B52" s="44" t="s">
        <v>174</v>
      </c>
      <c r="C52" s="45" t="s">
        <v>175</v>
      </c>
      <c r="D52" s="45" t="s">
        <v>176</v>
      </c>
      <c r="E52" s="45" t="s">
        <v>177</v>
      </c>
      <c r="F52" s="45" t="s">
        <v>60</v>
      </c>
      <c r="G52" s="46" t="s">
        <v>167</v>
      </c>
    </row>
    <row r="53" spans="2:12">
      <c r="B53" s="75"/>
      <c r="C53" s="245"/>
      <c r="D53" s="245"/>
      <c r="E53" s="245"/>
      <c r="F53" s="168" t="str">
        <f>IF(tbl_TrkStop_Electrification[*Truck Fuel Type]="","",VLOOKUP(tbl_TrkStop_Electrification[*Truck Fuel Type],Tbl_Fuel_Conversions,3,FALSE))</f>
        <v/>
      </c>
      <c r="G53" s="169" t="str">
        <f>IF(tbl_TrkStop_Electrification[*Truck Stop Number of Bays]="","",tbl_TrkStop_Electrification[*Truck Stop Number of Bays]*tbl_TrkStop_Electrification[*Hours/year Each Bay is used]*tbl_TrkStop_Electrification[*Idle Fuel Use (gal/h/vehicle)]*tbl_TrkStop_Electrification[GGE Conversion Factor])</f>
        <v/>
      </c>
      <c r="J53" t="s">
        <v>280</v>
      </c>
    </row>
    <row r="57" spans="2:12">
      <c r="B57" s="32"/>
      <c r="C57" s="32"/>
    </row>
    <row r="59" spans="2:12">
      <c r="B59" s="32"/>
      <c r="C59" s="32"/>
    </row>
    <row r="60" spans="2:12">
      <c r="B60" s="32"/>
      <c r="C60" s="32"/>
    </row>
    <row r="62" spans="2:12" ht="33" customHeight="1"/>
    <row r="63" spans="2:12" ht="78" customHeight="1"/>
  </sheetData>
  <mergeCells count="8">
    <mergeCell ref="B2:P2"/>
    <mergeCell ref="B50:G51"/>
    <mergeCell ref="C5:J5"/>
    <mergeCell ref="C7:J7"/>
    <mergeCell ref="C9:J9"/>
    <mergeCell ref="B14:H14"/>
    <mergeCell ref="B15:H15"/>
    <mergeCell ref="B16:H16"/>
  </mergeCells>
  <dataValidations xWindow="903" yWindow="483" count="13">
    <dataValidation type="list" allowBlank="1" showInputMessage="1" showErrorMessage="1" sqref="G34:G38 D53" xr:uid="{00000000-0002-0000-0500-000000000000}">
      <formula1>Conv_Fuels_List</formula1>
    </dataValidation>
    <dataValidation type="list" allowBlank="1" showInputMessage="1" showErrorMessage="1" sqref="C35:C38 C34" xr:uid="{00000000-0002-0000-0500-000001000000}">
      <formula1>Idle_VehicleType</formula1>
    </dataValidation>
    <dataValidation type="list" allowBlank="1" showInputMessage="1" showErrorMessage="1" sqref="E53" xr:uid="{00000000-0002-0000-0500-000003000000}">
      <formula1>TrkStop_idle_fuel</formula1>
    </dataValidation>
    <dataValidation type="list" allowBlank="1" showInputMessage="1" showErrorMessage="1" sqref="C53" xr:uid="{00000000-0002-0000-0500-000004000000}">
      <formula1>TrkStop_hours</formula1>
    </dataValidation>
    <dataValidation allowBlank="1" showInputMessage="1" showErrorMessage="1" prompt="To add a vehicle, start typing in the &quot;Make and Model..&quot; cell below the last entry. A new row will be added automatically. Add sheet rows above row 19 if you need more space." sqref="B33" xr:uid="{00000000-0002-0000-0500-000009000000}"/>
    <dataValidation allowBlank="1" showInputMessage="1" showErrorMessage="1" prompt="To add a new row, start typing in the cell below the last entry in this column. A new row will be added automatically. Add sheet rows above row 31 if you need more space." sqref="B52" xr:uid="{00000000-0002-0000-0500-00000A000000}"/>
    <dataValidation allowBlank="1" showInputMessage="1" showErrorMessage="1" prompt="To add a new row, start typing in the cell below the last entry in this column. A new row will be added automatically. " sqref="B17" xr:uid="{00000000-0002-0000-0500-00000B000000}"/>
    <dataValidation type="list" allowBlank="1" showInputMessage="1" showErrorMessage="1" promptTitle="Select from dropdown list" prompt="Select &quot;with load&quot; if the vehicle is normally carrying cargo (such as a delivery truck). Select &quot;without load&quot; if the vehicle does not normally carry cargo (for example, a security vehicle)" sqref="H34:H38" xr:uid="{00000000-0002-0000-0500-00000C000000}">
      <formula1>"with load, without load"</formula1>
    </dataValidation>
    <dataValidation type="list" allowBlank="1" showInputMessage="1" showErrorMessage="1" promptTitle="Select from dropdown list" prompt="There are no default values for some vehicles with load. Select &quot;without load&quot; or enter your own value" sqref="I34:I38" xr:uid="{00000000-0002-0000-0500-00000D000000}">
      <formula1>IF($H34="with load",Default_fuel_use_wload,Default_fuel_use_wo_load)</formula1>
    </dataValidation>
    <dataValidation type="list" allowBlank="1" showInputMessage="1" showErrorMessage="1" sqref="E19:E20 E18" xr:uid="{D0A6920F-8CF3-CE4D-A371-CF54CD2B5328}">
      <formula1>INDIRECT("TBL_Onboardidle_fuels["&amp;temp_OnBoardIR_type&amp;"]")</formula1>
    </dataValidation>
    <dataValidation type="list" errorStyle="information" allowBlank="1" showInputMessage="1" showErrorMessage="1" errorTitle="Non-default Value" sqref="G18:G20" xr:uid="{90A36CC4-8AB1-2340-A00F-8A7156431A99}">
      <formula1>INDIRECT("TBL_OnboardIR_hrs["&amp; temp_Onboard_hrs &amp;"]")</formula1>
    </dataValidation>
    <dataValidation type="list" errorStyle="information" allowBlank="1" showInputMessage="1" showErrorMessage="1" error="Five day workweek = 260 days per year" sqref="J34:J38" xr:uid="{208A0C28-17F9-AE48-8CD8-CE9A7675AFB3}">
      <formula1>"260"</formula1>
    </dataValidation>
    <dataValidation type="list" allowBlank="1" showInputMessage="1" showErrorMessage="1" prompt="APU: Auxiliary power for utility bucket Truck or LD vehicle,_x000a_Direct-fired heater &amp; Direct heat with thermal storage cooling: cab/sleeper AC &amp; engine during hotelling for long-haul trucks" sqref="D18:D20" xr:uid="{2522BE68-C51B-434D-94FF-C678DC339B7E}">
      <formula1>Onboard_Equip</formula1>
    </dataValidation>
  </dataValidations>
  <hyperlinks>
    <hyperlink ref="B5" location="loc_onboard_idle_red" display="Reduce idling through onboard idle reduction" xr:uid="{45B87761-2DAC-D04B-BDAC-21496EA78741}"/>
    <hyperlink ref="B7" location="loc_turn_engine_off" display="Reduce idling for vehicles such as delivery vans" xr:uid="{72D2AAB5-DB1C-AF43-A21F-8396A22E33EC}"/>
    <hyperlink ref="B9" location="loc_truckstop_elec" display="Reduce idling through truck stop electrification" xr:uid="{2C2C72A8-E447-B145-A2A4-9FDCBCF05C3B}"/>
  </hyperlinks>
  <pageMargins left="0.75" right="0.75" top="1" bottom="1" header="0.5" footer="0.5"/>
  <pageSetup orientation="portrait" horizontalDpi="4294967292" verticalDpi="4294967292"/>
  <tableParts count="3">
    <tablePart r:id="rId1"/>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3"/>
  <sheetViews>
    <sheetView workbookViewId="0">
      <selection activeCell="B4" sqref="B4"/>
    </sheetView>
  </sheetViews>
  <sheetFormatPr baseColWidth="10" defaultColWidth="11" defaultRowHeight="16"/>
  <cols>
    <col min="4" max="4" width="18" customWidth="1"/>
    <col min="7" max="7" width="19.5" customWidth="1"/>
    <col min="8" max="8" width="11.5" customWidth="1"/>
    <col min="9" max="9" width="25.5" customWidth="1"/>
    <col min="10" max="10" width="18.83203125" customWidth="1"/>
    <col min="11" max="11" width="19.5" customWidth="1"/>
    <col min="12" max="12" width="16" customWidth="1"/>
  </cols>
  <sheetData>
    <row r="3" spans="2:2">
      <c r="B3" t="s">
        <v>218</v>
      </c>
    </row>
  </sheetData>
  <pageMargins left="0.75" right="0.75" top="1" bottom="1" header="0.5" footer="0.5"/>
  <pageSetup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2:AD194"/>
  <sheetViews>
    <sheetView workbookViewId="0">
      <selection activeCell="H143" sqref="H143"/>
    </sheetView>
  </sheetViews>
  <sheetFormatPr baseColWidth="10" defaultColWidth="11" defaultRowHeight="16"/>
  <cols>
    <col min="1" max="1" width="6.5" customWidth="1"/>
    <col min="2" max="2" width="6.33203125" customWidth="1"/>
    <col min="3" max="3" width="34.33203125" customWidth="1"/>
    <col min="4" max="4" width="26.1640625" customWidth="1"/>
    <col min="5" max="5" width="17.5" customWidth="1"/>
    <col min="6" max="6" width="20.33203125" customWidth="1"/>
    <col min="7" max="7" width="34.5" customWidth="1"/>
    <col min="8" max="8" width="41.6640625" customWidth="1"/>
    <col min="9" max="9" width="43.5" customWidth="1"/>
    <col min="10" max="10" width="22.83203125" customWidth="1"/>
    <col min="11" max="11" width="43.5" customWidth="1"/>
    <col min="12" max="12" width="32.33203125" customWidth="1"/>
    <col min="13" max="13" width="32.5" customWidth="1"/>
    <col min="14" max="14" width="22.83203125" customWidth="1"/>
    <col min="15" max="15" width="22.6640625" customWidth="1"/>
    <col min="16" max="16" width="24.33203125" customWidth="1"/>
    <col min="17" max="17" width="25.33203125" customWidth="1"/>
    <col min="18" max="18" width="14.5" customWidth="1"/>
    <col min="19" max="19" width="22.6640625" customWidth="1"/>
    <col min="20" max="20" width="29.33203125" customWidth="1"/>
    <col min="21" max="21" width="26.6640625" customWidth="1"/>
    <col min="22" max="22" width="24.6640625" customWidth="1"/>
    <col min="23" max="23" width="13.1640625" customWidth="1"/>
    <col min="24" max="24" width="26" customWidth="1"/>
    <col min="25" max="25" width="12.6640625" customWidth="1"/>
    <col min="26" max="26" width="26.1640625" customWidth="1"/>
    <col min="27" max="27" width="19" customWidth="1"/>
    <col min="28" max="28" width="14" customWidth="1"/>
    <col min="29" max="29" width="16.1640625" customWidth="1"/>
  </cols>
  <sheetData>
    <row r="2" spans="1:19">
      <c r="C2" t="s">
        <v>157</v>
      </c>
    </row>
    <row r="3" spans="1:19" ht="18">
      <c r="C3" s="309" t="s">
        <v>375</v>
      </c>
    </row>
    <row r="5" spans="1:19">
      <c r="C5" t="s">
        <v>323</v>
      </c>
      <c r="D5" s="26"/>
    </row>
    <row r="6" spans="1:19">
      <c r="C6" s="23" t="s">
        <v>322</v>
      </c>
      <c r="D6" s="26"/>
    </row>
    <row r="7" spans="1:19" ht="34">
      <c r="A7" t="s">
        <v>152</v>
      </c>
      <c r="C7" s="1" t="s">
        <v>275</v>
      </c>
      <c r="D7" s="1" t="s">
        <v>276</v>
      </c>
      <c r="E7" s="1" t="s">
        <v>278</v>
      </c>
      <c r="F7" s="1" t="s">
        <v>277</v>
      </c>
      <c r="G7" s="1" t="s">
        <v>268</v>
      </c>
      <c r="H7" s="1" t="s">
        <v>260</v>
      </c>
      <c r="I7" s="1" t="s">
        <v>261</v>
      </c>
      <c r="J7" s="1" t="s">
        <v>262</v>
      </c>
      <c r="K7" s="1" t="s">
        <v>263</v>
      </c>
      <c r="L7" s="1" t="s">
        <v>264</v>
      </c>
      <c r="M7" s="27" t="s">
        <v>265</v>
      </c>
      <c r="N7" s="27" t="s">
        <v>266</v>
      </c>
      <c r="O7" s="27" t="s">
        <v>267</v>
      </c>
      <c r="P7" s="27" t="s">
        <v>315</v>
      </c>
      <c r="Q7" s="27" t="s">
        <v>316</v>
      </c>
      <c r="R7" s="27" t="s">
        <v>317</v>
      </c>
      <c r="S7" s="27" t="s">
        <v>318</v>
      </c>
    </row>
    <row r="8" spans="1:19">
      <c r="A8" t="s">
        <v>153</v>
      </c>
      <c r="C8" s="26">
        <v>28</v>
      </c>
      <c r="D8" s="26">
        <v>24.5</v>
      </c>
      <c r="E8" s="26">
        <v>17.399999999999999</v>
      </c>
      <c r="F8" s="26">
        <v>20.8</v>
      </c>
      <c r="G8" s="26">
        <v>21</v>
      </c>
      <c r="H8" s="26">
        <v>17.600000000000001</v>
      </c>
      <c r="I8" s="26">
        <v>14.3</v>
      </c>
      <c r="J8" s="26">
        <v>10.5</v>
      </c>
      <c r="K8" s="26">
        <v>8.5</v>
      </c>
      <c r="L8" s="26">
        <v>7.9</v>
      </c>
      <c r="M8">
        <v>7</v>
      </c>
      <c r="N8">
        <v>6.4</v>
      </c>
      <c r="O8">
        <v>5.7</v>
      </c>
      <c r="P8">
        <v>14.5</v>
      </c>
      <c r="Q8">
        <v>10</v>
      </c>
      <c r="R8">
        <v>6.7</v>
      </c>
      <c r="S8">
        <v>3.7</v>
      </c>
    </row>
    <row r="9" spans="1:19">
      <c r="A9" t="s">
        <v>126</v>
      </c>
    </row>
    <row r="10" spans="1:19">
      <c r="D10" s="26"/>
    </row>
    <row r="11" spans="1:19">
      <c r="D11" s="26"/>
    </row>
    <row r="12" spans="1:19">
      <c r="C12" t="s">
        <v>324</v>
      </c>
      <c r="D12" s="26"/>
    </row>
    <row r="13" spans="1:19">
      <c r="C13" s="23" t="s">
        <v>314</v>
      </c>
      <c r="D13" s="26"/>
    </row>
    <row r="14" spans="1:19" ht="34">
      <c r="A14" t="s">
        <v>152</v>
      </c>
      <c r="C14" s="1" t="s">
        <v>275</v>
      </c>
      <c r="D14" s="1" t="s">
        <v>276</v>
      </c>
      <c r="E14" s="1" t="s">
        <v>278</v>
      </c>
      <c r="F14" s="1" t="s">
        <v>277</v>
      </c>
      <c r="G14" s="1" t="s">
        <v>268</v>
      </c>
      <c r="H14" s="1" t="s">
        <v>260</v>
      </c>
      <c r="I14" s="1" t="s">
        <v>261</v>
      </c>
      <c r="J14" s="1" t="s">
        <v>262</v>
      </c>
      <c r="K14" s="1" t="s">
        <v>263</v>
      </c>
      <c r="L14" s="1" t="s">
        <v>264</v>
      </c>
      <c r="M14" s="27" t="s">
        <v>265</v>
      </c>
      <c r="N14" s="27" t="s">
        <v>266</v>
      </c>
      <c r="O14" s="27" t="s">
        <v>267</v>
      </c>
      <c r="P14" s="27" t="s">
        <v>315</v>
      </c>
      <c r="Q14" s="27" t="s">
        <v>316</v>
      </c>
      <c r="R14" s="27" t="s">
        <v>317</v>
      </c>
      <c r="S14" s="27" t="s">
        <v>318</v>
      </c>
    </row>
    <row r="15" spans="1:19">
      <c r="A15" t="s">
        <v>153</v>
      </c>
      <c r="C15" s="26" t="s">
        <v>325</v>
      </c>
      <c r="D15" s="26" t="s">
        <v>326</v>
      </c>
      <c r="E15" s="26" t="s">
        <v>327</v>
      </c>
      <c r="F15" s="26" t="s">
        <v>328</v>
      </c>
      <c r="G15" s="26" t="s">
        <v>329</v>
      </c>
      <c r="H15" s="26" t="s">
        <v>330</v>
      </c>
      <c r="I15" s="26" t="s">
        <v>337</v>
      </c>
      <c r="J15" s="26" t="s">
        <v>336</v>
      </c>
      <c r="K15" s="26" t="s">
        <v>335</v>
      </c>
      <c r="L15" s="26" t="s">
        <v>334</v>
      </c>
      <c r="M15" t="s">
        <v>333</v>
      </c>
      <c r="N15" t="s">
        <v>332</v>
      </c>
      <c r="O15" t="s">
        <v>331</v>
      </c>
      <c r="P15" t="s">
        <v>338</v>
      </c>
      <c r="Q15" t="s">
        <v>339</v>
      </c>
      <c r="R15" t="s">
        <v>340</v>
      </c>
      <c r="S15" t="s">
        <v>341</v>
      </c>
    </row>
    <row r="16" spans="1:19">
      <c r="A16" t="s">
        <v>126</v>
      </c>
    </row>
    <row r="17" spans="3:23">
      <c r="D17" s="26"/>
    </row>
    <row r="18" spans="3:23">
      <c r="D18" s="26"/>
    </row>
    <row r="19" spans="3:23" ht="18">
      <c r="C19" s="309" t="s">
        <v>376</v>
      </c>
    </row>
    <row r="23" spans="3:23">
      <c r="C23" t="s">
        <v>419</v>
      </c>
      <c r="D23" s="318" t="s">
        <v>420</v>
      </c>
    </row>
    <row r="24" spans="3:23">
      <c r="C24" t="s">
        <v>377</v>
      </c>
      <c r="H24" t="s">
        <v>432</v>
      </c>
    </row>
    <row r="25" spans="3:23">
      <c r="C25" t="s">
        <v>424</v>
      </c>
    </row>
    <row r="26" spans="3:23">
      <c r="C26" t="s">
        <v>425</v>
      </c>
      <c r="D26" t="s">
        <v>378</v>
      </c>
      <c r="E26" t="s">
        <v>14</v>
      </c>
      <c r="F26" t="s">
        <v>12</v>
      </c>
      <c r="G26" t="s">
        <v>379</v>
      </c>
      <c r="H26" t="s">
        <v>380</v>
      </c>
      <c r="I26" t="s">
        <v>433</v>
      </c>
      <c r="J26" t="s">
        <v>381</v>
      </c>
      <c r="K26" t="s">
        <v>382</v>
      </c>
      <c r="L26" t="s">
        <v>383</v>
      </c>
      <c r="M26" t="s">
        <v>384</v>
      </c>
      <c r="N26" t="s">
        <v>385</v>
      </c>
      <c r="O26" t="s">
        <v>373</v>
      </c>
      <c r="P26" t="s">
        <v>386</v>
      </c>
      <c r="Q26" t="s">
        <v>387</v>
      </c>
      <c r="R26" t="s">
        <v>388</v>
      </c>
      <c r="S26" t="s">
        <v>374</v>
      </c>
      <c r="T26" t="s">
        <v>389</v>
      </c>
      <c r="U26" t="s">
        <v>390</v>
      </c>
      <c r="V26" t="s">
        <v>391</v>
      </c>
      <c r="W26" t="s">
        <v>392</v>
      </c>
    </row>
    <row r="27" spans="3:23">
      <c r="C27" t="s">
        <v>418</v>
      </c>
      <c r="D27" t="e">
        <v>#N/A</v>
      </c>
      <c r="E27" s="26">
        <v>43</v>
      </c>
      <c r="F27" s="26">
        <v>51.6</v>
      </c>
      <c r="G27" s="26">
        <v>64.069999999999993</v>
      </c>
      <c r="H27" s="26">
        <v>165.57150000000001</v>
      </c>
      <c r="I27" s="26">
        <v>74.819999999999993</v>
      </c>
      <c r="J27" s="26">
        <v>61.919999999999995</v>
      </c>
      <c r="K27" s="26">
        <v>165.57150000000001</v>
      </c>
      <c r="L27" s="26">
        <v>92.02000000000001</v>
      </c>
      <c r="M27" s="26"/>
      <c r="N27" s="26"/>
      <c r="O27" s="26">
        <v>51.6</v>
      </c>
      <c r="P27" s="26">
        <v>51.6</v>
      </c>
      <c r="Q27" s="26">
        <v>51.6</v>
      </c>
      <c r="R27" s="26">
        <v>51.6</v>
      </c>
      <c r="S27" s="26">
        <v>43</v>
      </c>
      <c r="T27" s="26">
        <v>43</v>
      </c>
      <c r="U27" s="26">
        <v>40.85</v>
      </c>
      <c r="V27" s="26"/>
      <c r="W27" s="26"/>
    </row>
    <row r="28" spans="3:23">
      <c r="C28" t="s">
        <v>275</v>
      </c>
      <c r="D28" t="s">
        <v>415</v>
      </c>
      <c r="E28" s="26">
        <v>30.7</v>
      </c>
      <c r="F28" s="26">
        <v>36.839999999999996</v>
      </c>
      <c r="G28" s="26">
        <v>45.743000000000002</v>
      </c>
      <c r="H28" s="26">
        <v>118.21034999999999</v>
      </c>
      <c r="I28" s="26">
        <v>53.417999999999992</v>
      </c>
      <c r="J28" s="26">
        <v>44.207999999999998</v>
      </c>
      <c r="K28" s="26">
        <v>118.21034999999999</v>
      </c>
      <c r="L28" s="26">
        <v>65.698000000000008</v>
      </c>
      <c r="M28" s="26"/>
      <c r="N28" s="26"/>
      <c r="O28" s="26">
        <v>36.839999999999996</v>
      </c>
      <c r="P28" s="26">
        <v>36.839999999999996</v>
      </c>
      <c r="Q28" s="26">
        <v>36.839999999999996</v>
      </c>
      <c r="R28" s="26">
        <v>36.839999999999996</v>
      </c>
      <c r="S28" s="26">
        <v>30.7</v>
      </c>
      <c r="T28" s="26">
        <v>30.7</v>
      </c>
      <c r="U28" s="26">
        <v>29.164999999999999</v>
      </c>
      <c r="V28" s="26"/>
      <c r="W28" s="26"/>
    </row>
    <row r="29" spans="3:23">
      <c r="C29" t="s">
        <v>416</v>
      </c>
      <c r="D29" t="e">
        <v>#N/A</v>
      </c>
      <c r="E29" s="26">
        <v>30.7</v>
      </c>
      <c r="F29" s="26">
        <v>36.839999999999996</v>
      </c>
      <c r="G29" s="26">
        <v>45.743000000000002</v>
      </c>
      <c r="H29" s="26">
        <v>118.21034999999999</v>
      </c>
      <c r="I29" s="26">
        <v>53.417999999999992</v>
      </c>
      <c r="J29" s="26">
        <v>44.207999999999998</v>
      </c>
      <c r="K29" s="26">
        <v>118.21034999999999</v>
      </c>
      <c r="L29" s="26">
        <v>65.698000000000008</v>
      </c>
      <c r="M29" s="26"/>
      <c r="N29" s="26"/>
      <c r="O29" s="26">
        <v>36.839999999999996</v>
      </c>
      <c r="P29" s="26">
        <v>36.839999999999996</v>
      </c>
      <c r="Q29" s="26">
        <v>36.839999999999996</v>
      </c>
      <c r="R29" s="26">
        <v>36.839999999999996</v>
      </c>
      <c r="S29" s="26">
        <v>30.7</v>
      </c>
      <c r="T29" s="26">
        <v>30.7</v>
      </c>
      <c r="U29" s="26">
        <v>29.164999999999999</v>
      </c>
      <c r="V29" s="26"/>
      <c r="W29" s="26"/>
    </row>
    <row r="30" spans="3:23">
      <c r="C30" t="s">
        <v>417</v>
      </c>
      <c r="D30" t="e">
        <v>#N/A</v>
      </c>
      <c r="E30" s="26">
        <v>30.7</v>
      </c>
      <c r="F30" s="26">
        <v>36.839999999999996</v>
      </c>
      <c r="G30" s="26">
        <v>45.743000000000002</v>
      </c>
      <c r="H30" s="26">
        <v>118.21034999999999</v>
      </c>
      <c r="I30" s="26">
        <v>53.417999999999992</v>
      </c>
      <c r="J30" s="26">
        <v>44.207999999999998</v>
      </c>
      <c r="K30" s="26">
        <v>118.21034999999999</v>
      </c>
      <c r="L30" s="26">
        <v>65.698000000000008</v>
      </c>
      <c r="M30" s="26"/>
      <c r="N30" s="26"/>
      <c r="O30" s="26">
        <v>36.839999999999996</v>
      </c>
      <c r="P30" s="26">
        <v>36.839999999999996</v>
      </c>
      <c r="Q30" s="26">
        <v>36.839999999999996</v>
      </c>
      <c r="R30" s="26">
        <v>36.839999999999996</v>
      </c>
      <c r="S30" s="26">
        <v>30.7</v>
      </c>
      <c r="T30" s="26">
        <v>30.7</v>
      </c>
      <c r="U30" s="26">
        <v>29.164999999999999</v>
      </c>
      <c r="V30" s="26"/>
      <c r="W30" s="26"/>
    </row>
    <row r="31" spans="3:23">
      <c r="C31" t="s">
        <v>412</v>
      </c>
      <c r="D31" t="e">
        <v>#N/A</v>
      </c>
      <c r="E31" s="26">
        <v>27.49</v>
      </c>
      <c r="F31" s="26">
        <v>32.988</v>
      </c>
      <c r="G31" s="26">
        <v>39.585599999999999</v>
      </c>
      <c r="H31" s="26">
        <v>96.503644999999992</v>
      </c>
      <c r="I31" s="26">
        <v>46.183199999999999</v>
      </c>
      <c r="J31" s="26">
        <v>37.386400000000002</v>
      </c>
      <c r="K31" s="26">
        <v>96.503644999999992</v>
      </c>
      <c r="L31" s="26">
        <v>54.430199999999999</v>
      </c>
      <c r="M31" s="26"/>
      <c r="N31" s="26"/>
      <c r="O31" s="26">
        <v>32.988</v>
      </c>
      <c r="P31" s="26">
        <v>32.988</v>
      </c>
      <c r="Q31" s="26">
        <v>32.988</v>
      </c>
      <c r="R31" s="26">
        <v>32.988</v>
      </c>
      <c r="S31" s="26">
        <v>27.49</v>
      </c>
      <c r="T31" s="26">
        <v>27.49</v>
      </c>
      <c r="U31" s="26">
        <v>26.115499999999997</v>
      </c>
      <c r="V31" s="26"/>
      <c r="W31" s="26"/>
    </row>
    <row r="32" spans="3:23">
      <c r="C32" t="s">
        <v>413</v>
      </c>
      <c r="D32" t="e">
        <v>#N/A</v>
      </c>
      <c r="E32" s="26">
        <v>27.49</v>
      </c>
      <c r="F32" s="26">
        <v>32.988</v>
      </c>
      <c r="G32" s="26">
        <v>39.585599999999999</v>
      </c>
      <c r="H32" s="26">
        <v>96.503644999999992</v>
      </c>
      <c r="I32" s="26">
        <v>46.183199999999999</v>
      </c>
      <c r="J32" s="26">
        <v>37.386400000000002</v>
      </c>
      <c r="K32" s="26">
        <v>96.503644999999992</v>
      </c>
      <c r="L32" s="26">
        <v>54.430199999999999</v>
      </c>
      <c r="M32" s="26"/>
      <c r="N32" s="26"/>
      <c r="O32" s="26">
        <v>32.988</v>
      </c>
      <c r="P32" s="26">
        <v>32.988</v>
      </c>
      <c r="Q32" s="26">
        <v>32.988</v>
      </c>
      <c r="R32" s="26">
        <v>32.988</v>
      </c>
      <c r="S32" s="26">
        <v>27.49</v>
      </c>
      <c r="T32" s="26">
        <v>27.49</v>
      </c>
      <c r="U32" s="26">
        <v>26.115499999999997</v>
      </c>
      <c r="V32" s="26"/>
      <c r="W32" s="26"/>
    </row>
    <row r="33" spans="3:23">
      <c r="C33" t="s">
        <v>414</v>
      </c>
      <c r="D33" t="e">
        <v>#N/A</v>
      </c>
      <c r="E33" s="26">
        <v>27.49</v>
      </c>
      <c r="F33" s="26">
        <v>32.988</v>
      </c>
      <c r="G33" s="26">
        <v>39.585599999999999</v>
      </c>
      <c r="H33" s="26">
        <v>96.503644999999992</v>
      </c>
      <c r="I33" s="26">
        <v>46.183199999999999</v>
      </c>
      <c r="J33" s="26">
        <v>37.386400000000002</v>
      </c>
      <c r="K33" s="26">
        <v>96.503644999999992</v>
      </c>
      <c r="L33" s="26">
        <v>54.430199999999999</v>
      </c>
      <c r="M33" s="26"/>
      <c r="N33" s="26"/>
      <c r="O33" s="26">
        <v>32.988</v>
      </c>
      <c r="P33" s="26">
        <v>32.988</v>
      </c>
      <c r="Q33" s="26">
        <v>32.988</v>
      </c>
      <c r="R33" s="26">
        <v>32.988</v>
      </c>
      <c r="S33" s="26">
        <v>27.49</v>
      </c>
      <c r="T33" s="26">
        <v>27.49</v>
      </c>
      <c r="U33" s="26">
        <v>26.115499999999997</v>
      </c>
      <c r="V33" s="26"/>
      <c r="W33" s="26"/>
    </row>
    <row r="34" spans="3:23">
      <c r="C34" t="s">
        <v>410</v>
      </c>
      <c r="D34" t="s">
        <v>411</v>
      </c>
      <c r="E34" s="26">
        <v>20.93</v>
      </c>
      <c r="F34" s="26">
        <v>25.116</v>
      </c>
      <c r="G34" s="26">
        <v>30.139199999999999</v>
      </c>
      <c r="H34" s="26">
        <v>73.474764999999991</v>
      </c>
      <c r="I34" s="26">
        <v>35.162399999999998</v>
      </c>
      <c r="J34" s="26">
        <v>28.4648</v>
      </c>
      <c r="K34" s="26">
        <v>73.474764999999991</v>
      </c>
      <c r="L34" s="26">
        <v>41.441400000000002</v>
      </c>
      <c r="M34" s="26"/>
      <c r="N34" s="26"/>
      <c r="O34" s="26">
        <v>25.116</v>
      </c>
      <c r="P34" s="26">
        <v>25.116</v>
      </c>
      <c r="Q34" s="26">
        <v>25.116</v>
      </c>
      <c r="R34" s="26">
        <v>25.116</v>
      </c>
      <c r="S34" s="26">
        <v>20.93</v>
      </c>
      <c r="T34" s="26">
        <v>20.93</v>
      </c>
      <c r="U34" s="26">
        <v>19.883499999999998</v>
      </c>
      <c r="V34" s="26"/>
      <c r="W34" s="26"/>
    </row>
    <row r="35" spans="3:23">
      <c r="C35" t="s">
        <v>315</v>
      </c>
      <c r="D35" t="e">
        <v>#N/A</v>
      </c>
      <c r="E35" s="26">
        <v>14.5</v>
      </c>
      <c r="F35" s="26">
        <v>17.399999999999999</v>
      </c>
      <c r="G35" s="26">
        <v>21.024999999999999</v>
      </c>
      <c r="H35" s="26">
        <v>49.792999999999999</v>
      </c>
      <c r="I35" s="26">
        <v>20.009999999999998</v>
      </c>
      <c r="J35" s="26">
        <v>19.575000000000003</v>
      </c>
      <c r="K35" s="26">
        <v>49.792999999999999</v>
      </c>
      <c r="L35" s="26">
        <v>27.695</v>
      </c>
      <c r="M35" s="26"/>
      <c r="N35" s="26"/>
      <c r="O35" s="26">
        <v>17.399999999999999</v>
      </c>
      <c r="P35" s="26">
        <v>17.399999999999999</v>
      </c>
      <c r="Q35" s="26">
        <v>17.399999999999999</v>
      </c>
      <c r="R35" s="26">
        <v>17.399999999999999</v>
      </c>
      <c r="S35" s="26">
        <v>14.5</v>
      </c>
      <c r="T35" s="26">
        <v>14.5</v>
      </c>
      <c r="U35" s="26">
        <v>13.774999999999999</v>
      </c>
      <c r="V35" s="26"/>
      <c r="W35" s="26"/>
    </row>
    <row r="36" spans="3:23">
      <c r="C36" t="s">
        <v>407</v>
      </c>
      <c r="D36" t="s">
        <v>408</v>
      </c>
      <c r="E36" s="26">
        <v>13</v>
      </c>
      <c r="F36" s="26">
        <v>15.6</v>
      </c>
      <c r="G36" s="26">
        <v>18.849999999999998</v>
      </c>
      <c r="H36" s="26">
        <v>44.642000000000003</v>
      </c>
      <c r="I36" s="26">
        <v>17.939999999999998</v>
      </c>
      <c r="J36" s="26">
        <v>17.55</v>
      </c>
      <c r="K36" s="26">
        <v>44.642000000000003</v>
      </c>
      <c r="L36" s="26">
        <v>24.83</v>
      </c>
      <c r="M36" s="26"/>
      <c r="N36" s="26"/>
      <c r="O36" s="26">
        <v>15.6</v>
      </c>
      <c r="P36" s="26">
        <v>15.6</v>
      </c>
      <c r="Q36" s="26">
        <v>15.6</v>
      </c>
      <c r="R36" s="26">
        <v>15.6</v>
      </c>
      <c r="S36" s="26">
        <v>13</v>
      </c>
      <c r="T36" s="26">
        <v>13</v>
      </c>
      <c r="U36" s="26">
        <v>12.35</v>
      </c>
      <c r="V36" s="26"/>
      <c r="W36" s="26"/>
    </row>
    <row r="37" spans="3:23">
      <c r="C37" t="s">
        <v>316</v>
      </c>
      <c r="D37" t="e">
        <v>#N/A</v>
      </c>
      <c r="E37" s="26">
        <v>10</v>
      </c>
      <c r="F37" s="26">
        <v>12</v>
      </c>
      <c r="G37" s="26">
        <v>14.5</v>
      </c>
      <c r="H37" s="26">
        <v>34.339999999999996</v>
      </c>
      <c r="I37" s="26">
        <v>13.799999999999999</v>
      </c>
      <c r="J37" s="26">
        <v>13.5</v>
      </c>
      <c r="K37" s="26">
        <v>34.339999999999996</v>
      </c>
      <c r="L37" s="26">
        <v>19.099999999999998</v>
      </c>
      <c r="M37" s="26"/>
      <c r="N37" s="26"/>
      <c r="O37" s="26">
        <v>12</v>
      </c>
      <c r="P37" s="26">
        <v>12</v>
      </c>
      <c r="Q37" s="26">
        <v>12</v>
      </c>
      <c r="R37" s="26">
        <v>12</v>
      </c>
      <c r="S37" s="26">
        <v>10</v>
      </c>
      <c r="T37" s="26">
        <v>10</v>
      </c>
      <c r="U37" s="26">
        <v>9.5</v>
      </c>
      <c r="V37" s="26"/>
      <c r="W37" s="26"/>
    </row>
    <row r="38" spans="3:23">
      <c r="C38" t="s">
        <v>317</v>
      </c>
      <c r="D38" t="e">
        <v>#N/A</v>
      </c>
      <c r="E38" s="26">
        <v>6.666666666666667</v>
      </c>
      <c r="F38" s="26">
        <v>8</v>
      </c>
      <c r="G38" s="26"/>
      <c r="H38" s="26"/>
      <c r="I38" s="26"/>
      <c r="J38" s="26"/>
      <c r="K38" s="26">
        <v>25.908000000000001</v>
      </c>
      <c r="L38" s="26">
        <v>16.64</v>
      </c>
      <c r="M38" s="26">
        <v>10.72</v>
      </c>
      <c r="N38" s="26">
        <v>9.0540540540540544</v>
      </c>
      <c r="O38" s="26">
        <v>8</v>
      </c>
      <c r="P38" s="26">
        <v>8</v>
      </c>
      <c r="Q38" s="26">
        <v>8</v>
      </c>
      <c r="R38" s="26">
        <v>8</v>
      </c>
      <c r="S38" s="26">
        <v>6.666666666666667</v>
      </c>
      <c r="T38" s="26">
        <v>6.666666666666667</v>
      </c>
      <c r="U38" s="26">
        <v>6.8</v>
      </c>
      <c r="V38" s="26">
        <v>6.8</v>
      </c>
      <c r="W38" s="26">
        <v>7.6</v>
      </c>
    </row>
    <row r="39" spans="3:23">
      <c r="C39" t="s">
        <v>318</v>
      </c>
      <c r="D39" t="e">
        <v>#N/A</v>
      </c>
      <c r="E39" s="26">
        <v>3.666666666666667</v>
      </c>
      <c r="F39" s="26">
        <v>4.4000000000000004</v>
      </c>
      <c r="G39" s="26"/>
      <c r="H39" s="26"/>
      <c r="I39" s="26"/>
      <c r="J39" s="26"/>
      <c r="K39" s="26">
        <v>17.727600000000002</v>
      </c>
      <c r="L39" s="26">
        <v>11.088000000000001</v>
      </c>
      <c r="M39" s="26">
        <v>6.7320000000000011</v>
      </c>
      <c r="N39" s="26">
        <v>5.6858108108108114</v>
      </c>
      <c r="O39" s="26">
        <v>4.4000000000000004</v>
      </c>
      <c r="P39" s="26">
        <v>4.4000000000000004</v>
      </c>
      <c r="Q39" s="26">
        <v>4.4000000000000004</v>
      </c>
      <c r="R39" s="26">
        <v>4.4000000000000004</v>
      </c>
      <c r="S39" s="26">
        <v>3.666666666666667</v>
      </c>
      <c r="T39" s="26">
        <v>3.666666666666667</v>
      </c>
      <c r="U39" s="26">
        <v>3.74</v>
      </c>
      <c r="V39" s="26">
        <v>3.74</v>
      </c>
      <c r="W39" s="26">
        <v>4.18</v>
      </c>
    </row>
    <row r="40" spans="3:23">
      <c r="C40" t="s">
        <v>409</v>
      </c>
      <c r="D40" t="e">
        <v>#N/A</v>
      </c>
      <c r="E40" s="26">
        <v>6.5</v>
      </c>
      <c r="F40" s="26">
        <v>7.8</v>
      </c>
      <c r="G40" s="26">
        <v>9.4249999999999989</v>
      </c>
      <c r="H40" s="26">
        <v>22.321000000000002</v>
      </c>
      <c r="I40" s="26">
        <v>8.9699999999999989</v>
      </c>
      <c r="J40" s="26">
        <v>8.7750000000000004</v>
      </c>
      <c r="K40" s="26">
        <v>22.321000000000002</v>
      </c>
      <c r="L40" s="26">
        <v>12.414999999999999</v>
      </c>
      <c r="M40" s="26"/>
      <c r="N40" s="26"/>
      <c r="O40" s="26">
        <v>7.8</v>
      </c>
      <c r="P40" s="26">
        <v>7.8</v>
      </c>
      <c r="Q40" s="26">
        <v>7.8</v>
      </c>
      <c r="R40" s="26">
        <v>7.8</v>
      </c>
      <c r="S40" s="26">
        <v>6.5</v>
      </c>
      <c r="T40" s="26">
        <v>6.5</v>
      </c>
      <c r="U40" s="26">
        <v>6.1749999999999998</v>
      </c>
      <c r="V40" s="26"/>
      <c r="W40" s="26"/>
    </row>
    <row r="41" spans="3:23">
      <c r="C41" t="s">
        <v>94</v>
      </c>
      <c r="D41" t="e">
        <v>#N/A</v>
      </c>
      <c r="E41" s="26">
        <v>6.5</v>
      </c>
      <c r="F41" s="26">
        <v>7.8</v>
      </c>
      <c r="G41" s="26">
        <v>9.4249999999999989</v>
      </c>
      <c r="H41" s="26">
        <v>22.321000000000002</v>
      </c>
      <c r="I41" s="26">
        <v>8.9699999999999989</v>
      </c>
      <c r="J41" s="26">
        <v>8.7750000000000004</v>
      </c>
      <c r="K41" s="26">
        <v>22.321000000000002</v>
      </c>
      <c r="L41" s="26">
        <v>12.414999999999999</v>
      </c>
      <c r="M41" s="26"/>
      <c r="N41" s="26"/>
      <c r="O41" s="26">
        <v>7.8</v>
      </c>
      <c r="P41" s="26">
        <v>7.8</v>
      </c>
      <c r="Q41" s="26">
        <v>7.8</v>
      </c>
      <c r="R41" s="26">
        <v>7.8</v>
      </c>
      <c r="S41" s="26">
        <v>6.5</v>
      </c>
      <c r="T41" s="26">
        <v>6.5</v>
      </c>
      <c r="U41" s="26">
        <v>6.1749999999999998</v>
      </c>
      <c r="V41" s="26"/>
      <c r="W41" s="26"/>
    </row>
    <row r="42" spans="3:23">
      <c r="C42" t="s">
        <v>393</v>
      </c>
      <c r="D42" t="s">
        <v>394</v>
      </c>
      <c r="E42" s="26">
        <v>5.1769821998640122</v>
      </c>
      <c r="F42" s="26">
        <v>6.2123786398368139</v>
      </c>
      <c r="G42" s="26"/>
      <c r="H42" s="26"/>
      <c r="I42" s="26"/>
      <c r="J42" s="26"/>
      <c r="K42" s="26">
        <v>11.036290653670099</v>
      </c>
      <c r="L42" s="26">
        <v>6.8336165038204957</v>
      </c>
      <c r="M42" s="26">
        <v>6.3366262126335506</v>
      </c>
      <c r="N42" s="26">
        <v>6.2123786398368139</v>
      </c>
      <c r="O42" s="26">
        <v>6.2123786398368139</v>
      </c>
      <c r="P42" s="26">
        <v>6.2123786398368139</v>
      </c>
      <c r="Q42" s="26">
        <v>6.2123786398368139</v>
      </c>
      <c r="R42" s="26">
        <v>6.2123786398368139</v>
      </c>
      <c r="S42" s="26">
        <v>5.1769821998640122</v>
      </c>
      <c r="T42" s="26">
        <v>5.1769821998640122</v>
      </c>
      <c r="U42" s="26">
        <v>5.5911407758531331</v>
      </c>
      <c r="V42" s="26">
        <v>5.5911407758531331</v>
      </c>
      <c r="W42" s="26">
        <v>5.9017597078449731</v>
      </c>
    </row>
    <row r="43" spans="3:23">
      <c r="C43" t="s">
        <v>406</v>
      </c>
      <c r="D43" t="s">
        <v>406</v>
      </c>
      <c r="E43" s="26">
        <v>5.0181347683479611</v>
      </c>
      <c r="F43" s="26">
        <v>6.021761722017553</v>
      </c>
      <c r="G43" s="26"/>
      <c r="H43" s="26"/>
      <c r="I43" s="26"/>
      <c r="J43" s="26"/>
      <c r="K43" s="26">
        <v>19.501475336753845</v>
      </c>
      <c r="L43" s="26">
        <v>12.525264381796511</v>
      </c>
      <c r="M43" s="26">
        <v>8.0691607075035208</v>
      </c>
      <c r="N43" s="26">
        <v>6.8151695164725679</v>
      </c>
      <c r="O43" s="26">
        <v>6.021761722017553</v>
      </c>
      <c r="P43" s="26">
        <v>6.021761722017553</v>
      </c>
      <c r="Q43" s="26">
        <v>6.021761722017553</v>
      </c>
      <c r="R43" s="26">
        <v>6.021761722017553</v>
      </c>
      <c r="S43" s="26">
        <v>5.0181347683479611</v>
      </c>
      <c r="T43" s="26">
        <v>5.0181347683479611</v>
      </c>
      <c r="U43" s="26">
        <v>5.1184974637149203</v>
      </c>
      <c r="V43" s="26">
        <v>5.1184974637149203</v>
      </c>
      <c r="W43" s="26">
        <v>5.7206736359166754</v>
      </c>
    </row>
    <row r="44" spans="3:23">
      <c r="C44" t="s">
        <v>399</v>
      </c>
      <c r="D44" t="s">
        <v>400</v>
      </c>
      <c r="E44" s="26">
        <v>4.6715585541311233</v>
      </c>
      <c r="F44" s="26">
        <v>5.605870264957348</v>
      </c>
      <c r="G44" s="26"/>
      <c r="H44" s="26"/>
      <c r="I44" s="26"/>
      <c r="J44" s="26"/>
      <c r="K44" s="26">
        <v>22.586051297513155</v>
      </c>
      <c r="L44" s="26">
        <v>14.126793067692518</v>
      </c>
      <c r="M44" s="26">
        <v>8.576981505384742</v>
      </c>
      <c r="N44" s="26">
        <v>7.2440722173857619</v>
      </c>
      <c r="O44" s="26">
        <v>5.605870264957348</v>
      </c>
      <c r="P44" s="26">
        <v>5.605870264957348</v>
      </c>
      <c r="Q44" s="26">
        <v>5.605870264957348</v>
      </c>
      <c r="R44" s="26">
        <v>5.605870264957348</v>
      </c>
      <c r="S44" s="26">
        <v>4.6715585541311233</v>
      </c>
      <c r="T44" s="26">
        <v>4.6715585541311233</v>
      </c>
      <c r="U44" s="26">
        <v>4.7649897252137459</v>
      </c>
      <c r="V44" s="26">
        <v>4.7649897252137459</v>
      </c>
      <c r="W44" s="26">
        <v>5.3255767517094803</v>
      </c>
    </row>
    <row r="45" spans="3:23">
      <c r="C45" t="s">
        <v>397</v>
      </c>
      <c r="D45" t="s">
        <v>398</v>
      </c>
      <c r="E45" s="26">
        <v>4.1441245238259974</v>
      </c>
      <c r="F45" s="26">
        <v>4.9729494285911962</v>
      </c>
      <c r="G45" s="26"/>
      <c r="H45" s="26"/>
      <c r="I45" s="26"/>
      <c r="J45" s="26"/>
      <c r="K45" s="26">
        <v>20.036013247793928</v>
      </c>
      <c r="L45" s="26">
        <v>12.531832560049814</v>
      </c>
      <c r="M45" s="26">
        <v>7.6086126257445299</v>
      </c>
      <c r="N45" s="26">
        <v>6.4261930960680154</v>
      </c>
      <c r="O45" s="26">
        <v>4.9729494285911962</v>
      </c>
      <c r="P45" s="26">
        <v>4.9729494285911962</v>
      </c>
      <c r="Q45" s="26">
        <v>4.9729494285911962</v>
      </c>
      <c r="R45" s="26">
        <v>4.9729494285911962</v>
      </c>
      <c r="S45" s="26">
        <v>4.1441245238259974</v>
      </c>
      <c r="T45" s="26">
        <v>4.1441245238259974</v>
      </c>
      <c r="U45" s="26">
        <v>4.4756544857320764</v>
      </c>
      <c r="V45" s="26">
        <v>4.4756544857320764</v>
      </c>
      <c r="W45" s="26">
        <v>4.7243019571616358</v>
      </c>
    </row>
    <row r="46" spans="3:23">
      <c r="C46" t="s">
        <v>401</v>
      </c>
      <c r="D46" t="e">
        <v>#N/A</v>
      </c>
      <c r="E46" s="26">
        <v>3.833333333333333</v>
      </c>
      <c r="F46" s="26">
        <v>4.5999999999999996</v>
      </c>
      <c r="G46" s="26"/>
      <c r="H46" s="26"/>
      <c r="I46" s="26"/>
      <c r="J46" s="26"/>
      <c r="K46" s="26">
        <v>17.047599999999999</v>
      </c>
      <c r="L46" s="26">
        <v>9.613999999999999</v>
      </c>
      <c r="M46" s="26">
        <v>7.4979999999999993</v>
      </c>
      <c r="N46" s="26">
        <v>6.3327702702702693</v>
      </c>
      <c r="O46" s="26">
        <v>4.5999999999999996</v>
      </c>
      <c r="P46" s="26">
        <v>4.5999999999999996</v>
      </c>
      <c r="Q46" s="26">
        <v>4.5999999999999996</v>
      </c>
      <c r="R46" s="26">
        <v>4.5999999999999996</v>
      </c>
      <c r="S46" s="26">
        <v>3.833333333333333</v>
      </c>
      <c r="T46" s="26">
        <v>3.833333333333333</v>
      </c>
      <c r="U46" s="26">
        <v>3.9099999999999997</v>
      </c>
      <c r="V46" s="26">
        <v>3.9099999999999997</v>
      </c>
      <c r="W46" s="26">
        <v>4.3699999999999992</v>
      </c>
    </row>
    <row r="47" spans="3:23">
      <c r="C47" t="s">
        <v>395</v>
      </c>
      <c r="D47" t="s">
        <v>396</v>
      </c>
      <c r="E47" s="26">
        <v>3.2130503193019324</v>
      </c>
      <c r="F47" s="26">
        <v>3.8556603831623186</v>
      </c>
      <c r="G47" s="26"/>
      <c r="H47" s="26"/>
      <c r="I47" s="26"/>
      <c r="J47" s="26"/>
      <c r="K47" s="26">
        <v>12.35546369784365</v>
      </c>
      <c r="L47" s="26">
        <v>6.0533868015648409</v>
      </c>
      <c r="M47" s="26">
        <v>5.5135943479221154</v>
      </c>
      <c r="N47" s="26">
        <v>3.8556603831623186</v>
      </c>
      <c r="O47" s="26">
        <v>3.8556603831623186</v>
      </c>
      <c r="P47" s="26">
        <v>3.8556603831623186</v>
      </c>
      <c r="Q47" s="26">
        <v>3.8556603831623186</v>
      </c>
      <c r="R47" s="26">
        <v>3.8556603831623186</v>
      </c>
      <c r="S47" s="26">
        <v>3.2130503193019324</v>
      </c>
      <c r="T47" s="26">
        <v>3.2130503193019324</v>
      </c>
      <c r="U47" s="26">
        <v>3.4700943448460868</v>
      </c>
      <c r="V47" s="26">
        <v>3.4700943448460868</v>
      </c>
      <c r="W47" s="26">
        <v>3.6628773640042027</v>
      </c>
    </row>
    <row r="48" spans="3:23">
      <c r="C48" t="s">
        <v>95</v>
      </c>
      <c r="D48" t="s">
        <v>95</v>
      </c>
      <c r="E48" s="26">
        <v>3.1769486303210117</v>
      </c>
      <c r="F48" s="26">
        <v>3.8123383563852138</v>
      </c>
      <c r="G48" s="26"/>
      <c r="H48" s="26"/>
      <c r="I48" s="26"/>
      <c r="J48" s="26"/>
      <c r="K48" s="26">
        <v>9.6566530567237461</v>
      </c>
      <c r="L48" s="26">
        <v>6.404728438727159</v>
      </c>
      <c r="M48" s="26">
        <v>4.6129294112261086</v>
      </c>
      <c r="N48" s="26">
        <v>3.8960552459679971</v>
      </c>
      <c r="O48" s="26">
        <v>3.8123383563852138</v>
      </c>
      <c r="P48" s="26">
        <v>3.8123383563852138</v>
      </c>
      <c r="Q48" s="26">
        <v>3.8123383563852138</v>
      </c>
      <c r="R48" s="26">
        <v>3.8123383563852138</v>
      </c>
      <c r="S48" s="26">
        <v>3.1769486303210117</v>
      </c>
      <c r="T48" s="26">
        <v>3.1769486303210117</v>
      </c>
      <c r="U48" s="26">
        <v>3.2404876029274314</v>
      </c>
      <c r="V48" s="26">
        <v>3.2404876029274314</v>
      </c>
      <c r="W48" s="26">
        <v>3.6217214385659529</v>
      </c>
    </row>
    <row r="49" spans="3:30">
      <c r="C49" t="s">
        <v>404</v>
      </c>
      <c r="D49" t="e">
        <v>#N/A</v>
      </c>
      <c r="E49" s="26">
        <v>2.5</v>
      </c>
      <c r="F49" s="26">
        <v>3</v>
      </c>
      <c r="G49" s="26"/>
      <c r="H49" s="26"/>
      <c r="I49" s="26"/>
      <c r="J49" s="26"/>
      <c r="K49" s="26">
        <v>11.118000000000002</v>
      </c>
      <c r="L49" s="26">
        <v>6.27</v>
      </c>
      <c r="M49" s="26">
        <v>4.8899999999999997</v>
      </c>
      <c r="N49" s="26">
        <v>4.1300675675675675</v>
      </c>
      <c r="O49" s="26">
        <v>3</v>
      </c>
      <c r="P49" s="26">
        <v>3</v>
      </c>
      <c r="Q49" s="26">
        <v>3</v>
      </c>
      <c r="R49" s="26">
        <v>3</v>
      </c>
      <c r="S49" s="26">
        <v>2.5</v>
      </c>
      <c r="T49" s="26">
        <v>2.5</v>
      </c>
      <c r="U49" s="26">
        <v>2.5499999999999998</v>
      </c>
      <c r="V49" s="26">
        <v>2.5499999999999998</v>
      </c>
      <c r="W49" s="26">
        <v>2.8499999999999996</v>
      </c>
    </row>
    <row r="50" spans="3:30">
      <c r="C50" t="s">
        <v>402</v>
      </c>
      <c r="D50" t="e">
        <v>#N/A</v>
      </c>
      <c r="E50" s="26">
        <v>2.2500000000000004</v>
      </c>
      <c r="F50" s="26">
        <v>2.7</v>
      </c>
      <c r="G50" s="26"/>
      <c r="H50" s="26"/>
      <c r="I50" s="26"/>
      <c r="J50" s="26"/>
      <c r="K50" s="26">
        <v>10.878300000000001</v>
      </c>
      <c r="L50" s="26">
        <v>6.8040000000000003</v>
      </c>
      <c r="M50" s="26">
        <v>4.1310000000000002</v>
      </c>
      <c r="N50" s="26">
        <v>3.4890202702702706</v>
      </c>
      <c r="O50" s="26">
        <v>2.7</v>
      </c>
      <c r="P50" s="26">
        <v>2.7</v>
      </c>
      <c r="Q50" s="26">
        <v>2.7</v>
      </c>
      <c r="R50" s="26">
        <v>2.7</v>
      </c>
      <c r="S50" s="26">
        <v>2.2500000000000004</v>
      </c>
      <c r="T50" s="26">
        <v>2.2500000000000004</v>
      </c>
      <c r="U50" s="26">
        <v>2.2949999999999999</v>
      </c>
      <c r="V50" s="26">
        <v>2.2949999999999999</v>
      </c>
      <c r="W50" s="26">
        <v>2.5649999999999999</v>
      </c>
    </row>
    <row r="51" spans="3:30">
      <c r="C51" t="s">
        <v>405</v>
      </c>
      <c r="D51" t="s">
        <v>405</v>
      </c>
      <c r="E51" s="26">
        <v>1.25</v>
      </c>
      <c r="F51" s="26">
        <v>1.5</v>
      </c>
      <c r="G51" s="26"/>
      <c r="H51" s="26"/>
      <c r="I51" s="26"/>
      <c r="J51" s="26"/>
      <c r="K51" s="26">
        <v>5.3677499999999991</v>
      </c>
      <c r="L51" s="26">
        <v>2.7600000000000002</v>
      </c>
      <c r="M51" s="26">
        <v>2.2199999999999998</v>
      </c>
      <c r="N51" s="26">
        <v>1.875</v>
      </c>
      <c r="O51" s="26">
        <v>1.5</v>
      </c>
      <c r="P51" s="26">
        <v>1.5</v>
      </c>
      <c r="Q51" s="26">
        <v>1.5</v>
      </c>
      <c r="R51" s="26">
        <v>1.5</v>
      </c>
      <c r="S51" s="26">
        <v>1.25</v>
      </c>
      <c r="T51" s="26">
        <v>1.25</v>
      </c>
      <c r="U51" s="26">
        <v>1.2749999999999999</v>
      </c>
      <c r="V51" s="26">
        <v>1.2749999999999999</v>
      </c>
      <c r="W51" s="26">
        <v>1.4249999999999998</v>
      </c>
    </row>
    <row r="52" spans="3:30">
      <c r="C52" t="s">
        <v>403</v>
      </c>
      <c r="D52" t="e">
        <v>#N/A</v>
      </c>
      <c r="E52" s="26">
        <v>0.83333333333333337</v>
      </c>
      <c r="F52" s="26">
        <v>1</v>
      </c>
      <c r="G52" s="26"/>
      <c r="H52" s="26"/>
      <c r="I52" s="26"/>
      <c r="J52" s="26"/>
      <c r="K52" s="26">
        <v>4.5814999999999992</v>
      </c>
      <c r="L52" s="26">
        <v>3.05</v>
      </c>
      <c r="M52" s="26">
        <v>1.79</v>
      </c>
      <c r="N52" s="26">
        <v>1.5118243243243241</v>
      </c>
      <c r="O52" s="26">
        <v>1</v>
      </c>
      <c r="P52" s="26">
        <v>1</v>
      </c>
      <c r="Q52" s="26">
        <v>1</v>
      </c>
      <c r="R52" s="26">
        <v>1</v>
      </c>
      <c r="S52" s="26">
        <v>0.83333333333333337</v>
      </c>
      <c r="T52" s="26">
        <v>0.83333333333333337</v>
      </c>
      <c r="U52" s="26">
        <v>0.85</v>
      </c>
      <c r="V52" s="26">
        <v>0.85</v>
      </c>
      <c r="W52" s="26">
        <v>0.95</v>
      </c>
    </row>
    <row r="53" spans="3:30">
      <c r="E53" s="26"/>
      <c r="F53" s="26"/>
      <c r="G53" s="26"/>
      <c r="H53" s="26"/>
      <c r="I53" s="26"/>
      <c r="J53" s="26"/>
      <c r="K53" s="26"/>
      <c r="L53" s="26"/>
      <c r="M53" s="26"/>
      <c r="N53" s="26"/>
      <c r="O53" s="26"/>
      <c r="P53" s="26"/>
      <c r="Q53" s="26"/>
      <c r="R53" s="26"/>
      <c r="S53" s="26"/>
      <c r="T53" s="26"/>
      <c r="U53" s="26"/>
      <c r="V53" s="26"/>
    </row>
    <row r="54" spans="3:30">
      <c r="E54" s="26"/>
      <c r="F54" s="26"/>
      <c r="G54" s="26"/>
      <c r="H54" s="26"/>
      <c r="I54" s="26"/>
      <c r="J54" s="26"/>
      <c r="K54" s="26"/>
      <c r="L54" s="26"/>
      <c r="M54" s="26"/>
      <c r="N54" s="26"/>
      <c r="O54" s="26"/>
      <c r="P54" s="26"/>
      <c r="Q54" s="26"/>
      <c r="R54" s="26"/>
      <c r="S54" s="26"/>
      <c r="T54" s="26"/>
      <c r="U54" s="26"/>
      <c r="V54" s="26"/>
    </row>
    <row r="55" spans="3:30">
      <c r="E55" s="26"/>
      <c r="F55" s="26"/>
      <c r="G55" s="26"/>
      <c r="H55" s="26"/>
      <c r="I55" s="26"/>
      <c r="J55" s="26"/>
      <c r="K55" s="26"/>
      <c r="L55" s="26"/>
      <c r="M55" s="26"/>
      <c r="N55" s="26"/>
      <c r="O55" s="26"/>
      <c r="P55" s="26"/>
      <c r="Q55" s="26"/>
      <c r="R55" s="26"/>
      <c r="S55" s="26"/>
      <c r="T55" s="26"/>
      <c r="U55" s="26"/>
      <c r="V55" s="26"/>
    </row>
    <row r="56" spans="3:30">
      <c r="C56" t="s">
        <v>430</v>
      </c>
      <c r="D56" t="e" cm="1">
        <f t="array" aca="1" ref="D56" ca="1">Default_AF_percent</f>
        <v>#N/A</v>
      </c>
      <c r="E56" s="26"/>
      <c r="F56" s="26"/>
      <c r="G56" s="26"/>
      <c r="H56" s="26"/>
      <c r="I56" s="26"/>
      <c r="J56" s="26"/>
      <c r="K56" s="26"/>
      <c r="L56" s="26"/>
      <c r="M56" s="26"/>
      <c r="N56" s="26"/>
      <c r="O56" s="26"/>
      <c r="P56" s="26"/>
      <c r="Q56" s="26"/>
      <c r="R56" s="26"/>
      <c r="S56" s="26"/>
      <c r="T56" s="26"/>
      <c r="U56" s="26"/>
      <c r="V56" s="26"/>
    </row>
    <row r="57" spans="3:30">
      <c r="E57" s="26"/>
      <c r="F57" s="26"/>
      <c r="G57" s="26"/>
      <c r="H57" s="26"/>
      <c r="I57" s="26"/>
      <c r="J57" s="26"/>
      <c r="K57" s="26"/>
      <c r="L57" s="26"/>
      <c r="M57" s="26"/>
      <c r="N57" s="26"/>
      <c r="O57" s="26"/>
      <c r="P57" s="26"/>
      <c r="Q57" s="26"/>
      <c r="R57" s="26"/>
      <c r="S57" s="26"/>
      <c r="T57" s="26"/>
      <c r="U57" s="26"/>
      <c r="V57" s="26"/>
    </row>
    <row r="58" spans="3:30">
      <c r="C58" t="s">
        <v>428</v>
      </c>
      <c r="E58" s="26"/>
      <c r="F58" s="26"/>
      <c r="G58" s="26"/>
      <c r="H58" s="26"/>
      <c r="I58" s="26"/>
      <c r="J58" s="26"/>
      <c r="K58" s="26"/>
      <c r="L58" s="26"/>
      <c r="M58" s="26"/>
      <c r="N58" s="26"/>
      <c r="O58" s="26"/>
      <c r="P58" s="26"/>
      <c r="Q58" s="26"/>
      <c r="R58" s="26"/>
      <c r="S58" s="26"/>
      <c r="T58" s="26"/>
      <c r="U58" s="26"/>
      <c r="V58" s="26"/>
    </row>
    <row r="59" spans="3:30">
      <c r="C59" t="s">
        <v>427</v>
      </c>
      <c r="D59" t="s">
        <v>429</v>
      </c>
      <c r="E59" t="s">
        <v>418</v>
      </c>
      <c r="F59" s="26" t="s">
        <v>275</v>
      </c>
      <c r="G59" s="26" t="s">
        <v>416</v>
      </c>
      <c r="H59" s="26" t="s">
        <v>417</v>
      </c>
      <c r="I59" s="26" t="s">
        <v>412</v>
      </c>
      <c r="J59" s="26" t="s">
        <v>413</v>
      </c>
      <c r="K59" s="26" t="s">
        <v>414</v>
      </c>
      <c r="L59" s="26" t="s">
        <v>410</v>
      </c>
      <c r="M59" s="26" t="s">
        <v>315</v>
      </c>
      <c r="N59" s="26" t="s">
        <v>407</v>
      </c>
      <c r="O59" s="26" t="s">
        <v>316</v>
      </c>
      <c r="P59" s="26" t="s">
        <v>317</v>
      </c>
      <c r="Q59" s="26" t="s">
        <v>318</v>
      </c>
      <c r="R59" s="26" t="s">
        <v>409</v>
      </c>
      <c r="S59" s="26" t="s">
        <v>94</v>
      </c>
      <c r="T59" s="26" t="s">
        <v>393</v>
      </c>
      <c r="U59" s="26" t="s">
        <v>406</v>
      </c>
      <c r="V59" s="26" t="s">
        <v>399</v>
      </c>
      <c r="W59" s="26" t="s">
        <v>397</v>
      </c>
      <c r="X59" t="s">
        <v>401</v>
      </c>
      <c r="Y59" t="s">
        <v>395</v>
      </c>
      <c r="Z59" t="s">
        <v>95</v>
      </c>
      <c r="AA59" t="s">
        <v>404</v>
      </c>
      <c r="AB59" t="s">
        <v>402</v>
      </c>
      <c r="AC59" t="s">
        <v>405</v>
      </c>
      <c r="AD59" t="s">
        <v>403</v>
      </c>
    </row>
    <row r="60" spans="3:30">
      <c r="C60" t="s">
        <v>380</v>
      </c>
      <c r="D60" s="21">
        <v>0.56999999999999995</v>
      </c>
      <c r="E60" t="s">
        <v>382</v>
      </c>
      <c r="F60" s="26" t="s">
        <v>382</v>
      </c>
      <c r="G60" s="26" t="s">
        <v>382</v>
      </c>
      <c r="H60" s="26" t="s">
        <v>382</v>
      </c>
      <c r="I60" s="26" t="s">
        <v>382</v>
      </c>
      <c r="J60" s="26" t="s">
        <v>382</v>
      </c>
      <c r="K60" s="26" t="s">
        <v>382</v>
      </c>
      <c r="L60" s="26" t="s">
        <v>382</v>
      </c>
      <c r="M60" s="26" t="s">
        <v>382</v>
      </c>
      <c r="N60" s="26" t="s">
        <v>382</v>
      </c>
      <c r="O60" s="26" t="s">
        <v>382</v>
      </c>
      <c r="P60" s="26" t="s">
        <v>382</v>
      </c>
      <c r="Q60" s="26" t="s">
        <v>382</v>
      </c>
      <c r="R60" s="26" t="s">
        <v>382</v>
      </c>
      <c r="S60" s="26" t="s">
        <v>382</v>
      </c>
      <c r="T60" s="26" t="s">
        <v>382</v>
      </c>
      <c r="U60" s="26" t="s">
        <v>382</v>
      </c>
      <c r="V60" s="26" t="s">
        <v>382</v>
      </c>
      <c r="W60" s="26" t="s">
        <v>382</v>
      </c>
      <c r="X60" t="s">
        <v>382</v>
      </c>
      <c r="Y60" t="s">
        <v>382</v>
      </c>
      <c r="Z60" t="s">
        <v>382</v>
      </c>
      <c r="AA60" t="s">
        <v>382</v>
      </c>
      <c r="AB60" t="s">
        <v>382</v>
      </c>
      <c r="AC60" t="s">
        <v>382</v>
      </c>
      <c r="AD60" t="s">
        <v>382</v>
      </c>
    </row>
    <row r="61" spans="3:30">
      <c r="C61" t="s">
        <v>382</v>
      </c>
      <c r="D61" s="21">
        <v>1</v>
      </c>
      <c r="E61" t="s">
        <v>386</v>
      </c>
      <c r="F61" s="26" t="s">
        <v>386</v>
      </c>
      <c r="G61" s="26" t="s">
        <v>386</v>
      </c>
      <c r="H61" s="26" t="s">
        <v>386</v>
      </c>
      <c r="I61" s="26" t="s">
        <v>386</v>
      </c>
      <c r="J61" s="26" t="s">
        <v>386</v>
      </c>
      <c r="K61" s="26" t="s">
        <v>386</v>
      </c>
      <c r="L61" s="26" t="s">
        <v>386</v>
      </c>
      <c r="M61" s="26" t="s">
        <v>386</v>
      </c>
      <c r="N61" s="26" t="s">
        <v>386</v>
      </c>
      <c r="O61" s="26" t="s">
        <v>386</v>
      </c>
      <c r="P61" s="26" t="s">
        <v>386</v>
      </c>
      <c r="Q61" s="26" t="s">
        <v>386</v>
      </c>
      <c r="R61" s="26" t="s">
        <v>386</v>
      </c>
      <c r="S61" s="26" t="s">
        <v>386</v>
      </c>
      <c r="T61" s="26" t="s">
        <v>386</v>
      </c>
      <c r="U61" s="26" t="s">
        <v>386</v>
      </c>
      <c r="V61" s="26" t="s">
        <v>386</v>
      </c>
      <c r="W61" s="26" t="s">
        <v>386</v>
      </c>
      <c r="X61" t="s">
        <v>386</v>
      </c>
      <c r="Y61" t="s">
        <v>386</v>
      </c>
      <c r="Z61" t="s">
        <v>386</v>
      </c>
      <c r="AA61" t="s">
        <v>386</v>
      </c>
      <c r="AB61" t="s">
        <v>386</v>
      </c>
      <c r="AC61" t="s">
        <v>386</v>
      </c>
      <c r="AD61" t="s">
        <v>386</v>
      </c>
    </row>
    <row r="62" spans="3:30">
      <c r="C62" t="s">
        <v>383</v>
      </c>
      <c r="D62" s="21">
        <v>1</v>
      </c>
      <c r="E62" t="s">
        <v>373</v>
      </c>
      <c r="F62" s="26" t="s">
        <v>373</v>
      </c>
      <c r="G62" s="26" t="s">
        <v>373</v>
      </c>
      <c r="H62" s="26" t="s">
        <v>373</v>
      </c>
      <c r="I62" s="26" t="s">
        <v>373</v>
      </c>
      <c r="J62" s="26" t="s">
        <v>373</v>
      </c>
      <c r="K62" s="26" t="s">
        <v>373</v>
      </c>
      <c r="L62" s="26" t="s">
        <v>373</v>
      </c>
      <c r="M62" s="26" t="s">
        <v>373</v>
      </c>
      <c r="N62" s="26" t="s">
        <v>373</v>
      </c>
      <c r="O62" s="26" t="s">
        <v>373</v>
      </c>
      <c r="P62" s="26" t="s">
        <v>373</v>
      </c>
      <c r="Q62" s="26" t="s">
        <v>373</v>
      </c>
      <c r="R62" s="26" t="s">
        <v>373</v>
      </c>
      <c r="S62" s="26" t="s">
        <v>373</v>
      </c>
      <c r="T62" s="26" t="s">
        <v>373</v>
      </c>
      <c r="U62" s="26" t="s">
        <v>373</v>
      </c>
      <c r="V62" s="26" t="s">
        <v>373</v>
      </c>
      <c r="W62" s="26" t="s">
        <v>373</v>
      </c>
      <c r="X62" t="s">
        <v>373</v>
      </c>
      <c r="Y62" t="s">
        <v>373</v>
      </c>
      <c r="Z62" t="s">
        <v>373</v>
      </c>
      <c r="AA62" t="s">
        <v>373</v>
      </c>
      <c r="AB62" t="s">
        <v>373</v>
      </c>
      <c r="AC62" t="s">
        <v>373</v>
      </c>
      <c r="AD62" t="s">
        <v>373</v>
      </c>
    </row>
    <row r="63" spans="3:30">
      <c r="C63" t="s">
        <v>373</v>
      </c>
      <c r="D63" s="21"/>
      <c r="E63" t="s">
        <v>390</v>
      </c>
      <c r="F63" s="26" t="s">
        <v>390</v>
      </c>
      <c r="G63" s="26" t="s">
        <v>390</v>
      </c>
      <c r="H63" s="26" t="s">
        <v>390</v>
      </c>
      <c r="I63" s="26" t="s">
        <v>390</v>
      </c>
      <c r="J63" s="26" t="s">
        <v>390</v>
      </c>
      <c r="K63" s="26" t="s">
        <v>390</v>
      </c>
      <c r="L63" s="26" t="s">
        <v>390</v>
      </c>
      <c r="M63" s="26" t="s">
        <v>390</v>
      </c>
      <c r="N63" s="26" t="s">
        <v>390</v>
      </c>
      <c r="O63" s="26" t="s">
        <v>390</v>
      </c>
      <c r="P63" s="26" t="s">
        <v>390</v>
      </c>
      <c r="Q63" s="26" t="s">
        <v>390</v>
      </c>
      <c r="R63" s="26" t="s">
        <v>390</v>
      </c>
      <c r="S63" s="26" t="s">
        <v>390</v>
      </c>
      <c r="T63" s="26" t="s">
        <v>390</v>
      </c>
      <c r="U63" s="26" t="s">
        <v>390</v>
      </c>
      <c r="V63" s="26" t="s">
        <v>390</v>
      </c>
      <c r="W63" s="26" t="s">
        <v>390</v>
      </c>
      <c r="X63" t="s">
        <v>390</v>
      </c>
      <c r="Y63" t="s">
        <v>390</v>
      </c>
      <c r="Z63" t="s">
        <v>390</v>
      </c>
      <c r="AA63" t="s">
        <v>390</v>
      </c>
      <c r="AB63" t="s">
        <v>390</v>
      </c>
      <c r="AC63" t="s">
        <v>390</v>
      </c>
      <c r="AD63" t="s">
        <v>390</v>
      </c>
    </row>
    <row r="64" spans="3:30">
      <c r="C64" t="s">
        <v>386</v>
      </c>
      <c r="D64" s="21"/>
      <c r="E64" t="s">
        <v>374</v>
      </c>
      <c r="F64" s="26" t="s">
        <v>374</v>
      </c>
      <c r="G64" s="26" t="s">
        <v>374</v>
      </c>
      <c r="H64" s="26" t="s">
        <v>374</v>
      </c>
      <c r="I64" s="26" t="s">
        <v>374</v>
      </c>
      <c r="J64" s="26" t="s">
        <v>374</v>
      </c>
      <c r="K64" s="26" t="s">
        <v>374</v>
      </c>
      <c r="L64" s="26" t="s">
        <v>374</v>
      </c>
      <c r="M64" s="26" t="s">
        <v>374</v>
      </c>
      <c r="N64" s="26" t="s">
        <v>374</v>
      </c>
      <c r="O64" s="26" t="s">
        <v>374</v>
      </c>
      <c r="P64" s="26" t="s">
        <v>374</v>
      </c>
      <c r="Q64" s="26" t="s">
        <v>374</v>
      </c>
      <c r="R64" s="26" t="s">
        <v>374</v>
      </c>
      <c r="S64" s="26" t="s">
        <v>374</v>
      </c>
      <c r="T64" s="26" t="s">
        <v>374</v>
      </c>
      <c r="U64" s="26" t="s">
        <v>374</v>
      </c>
      <c r="V64" s="26" t="s">
        <v>374</v>
      </c>
      <c r="W64" s="26" t="s">
        <v>374</v>
      </c>
      <c r="X64" t="s">
        <v>374</v>
      </c>
      <c r="Y64" t="s">
        <v>374</v>
      </c>
      <c r="Z64" t="s">
        <v>374</v>
      </c>
      <c r="AA64" t="s">
        <v>374</v>
      </c>
      <c r="AB64" t="s">
        <v>374</v>
      </c>
      <c r="AC64" t="s">
        <v>374</v>
      </c>
      <c r="AD64" t="s">
        <v>374</v>
      </c>
    </row>
    <row r="65" spans="3:30">
      <c r="C65" t="s">
        <v>387</v>
      </c>
      <c r="D65" s="21"/>
      <c r="E65" t="s">
        <v>383</v>
      </c>
      <c r="F65" s="26" t="s">
        <v>383</v>
      </c>
      <c r="G65" s="26" t="s">
        <v>383</v>
      </c>
      <c r="H65" s="26" t="s">
        <v>383</v>
      </c>
      <c r="I65" s="26" t="s">
        <v>383</v>
      </c>
      <c r="J65" s="26" t="s">
        <v>383</v>
      </c>
      <c r="K65" s="26" t="s">
        <v>383</v>
      </c>
      <c r="L65" s="26" t="s">
        <v>383</v>
      </c>
      <c r="M65" s="26" t="s">
        <v>383</v>
      </c>
      <c r="N65" s="26" t="s">
        <v>383</v>
      </c>
      <c r="O65" s="26" t="s">
        <v>383</v>
      </c>
      <c r="P65" s="26" t="s">
        <v>383</v>
      </c>
      <c r="Q65" s="26" t="s">
        <v>383</v>
      </c>
      <c r="R65" s="26" t="s">
        <v>383</v>
      </c>
      <c r="S65" s="26" t="s">
        <v>383</v>
      </c>
      <c r="T65" s="26" t="s">
        <v>383</v>
      </c>
      <c r="U65" s="26" t="s">
        <v>383</v>
      </c>
      <c r="V65" s="26" t="s">
        <v>383</v>
      </c>
      <c r="W65" s="26" t="s">
        <v>383</v>
      </c>
      <c r="X65" t="s">
        <v>383</v>
      </c>
      <c r="Y65" t="s">
        <v>383</v>
      </c>
      <c r="Z65" t="s">
        <v>383</v>
      </c>
      <c r="AA65" t="s">
        <v>383</v>
      </c>
      <c r="AB65" t="s">
        <v>383</v>
      </c>
      <c r="AC65" t="s">
        <v>383</v>
      </c>
      <c r="AD65" t="s">
        <v>383</v>
      </c>
    </row>
    <row r="66" spans="3:30">
      <c r="C66" t="s">
        <v>388</v>
      </c>
      <c r="D66" s="21"/>
      <c r="E66" t="s">
        <v>380</v>
      </c>
      <c r="F66" s="26" t="s">
        <v>380</v>
      </c>
      <c r="G66" s="26" t="s">
        <v>380</v>
      </c>
      <c r="H66" s="26" t="s">
        <v>380</v>
      </c>
      <c r="I66" s="26" t="s">
        <v>380</v>
      </c>
      <c r="J66" s="26" t="s">
        <v>380</v>
      </c>
      <c r="K66" s="26" t="s">
        <v>380</v>
      </c>
      <c r="L66" s="26" t="s">
        <v>380</v>
      </c>
      <c r="M66" s="26" t="s">
        <v>380</v>
      </c>
      <c r="N66" s="26" t="s">
        <v>380</v>
      </c>
      <c r="O66" s="26" t="s">
        <v>380</v>
      </c>
      <c r="P66" s="26" t="s">
        <v>389</v>
      </c>
      <c r="Q66" s="26" t="s">
        <v>389</v>
      </c>
      <c r="R66" s="26" t="s">
        <v>380</v>
      </c>
      <c r="S66" s="26" t="s">
        <v>380</v>
      </c>
      <c r="T66" s="26" t="s">
        <v>389</v>
      </c>
      <c r="U66" s="26" t="s">
        <v>389</v>
      </c>
      <c r="V66" s="26" t="s">
        <v>389</v>
      </c>
      <c r="W66" s="26" t="s">
        <v>389</v>
      </c>
      <c r="X66" t="s">
        <v>389</v>
      </c>
      <c r="Y66" t="s">
        <v>389</v>
      </c>
      <c r="Z66" t="s">
        <v>389</v>
      </c>
      <c r="AA66" t="s">
        <v>389</v>
      </c>
      <c r="AB66" t="s">
        <v>389</v>
      </c>
      <c r="AC66" t="s">
        <v>389</v>
      </c>
      <c r="AD66" t="s">
        <v>389</v>
      </c>
    </row>
    <row r="67" spans="3:30">
      <c r="C67" t="s">
        <v>374</v>
      </c>
      <c r="D67" s="21"/>
      <c r="E67" t="s">
        <v>389</v>
      </c>
      <c r="F67" s="26" t="s">
        <v>389</v>
      </c>
      <c r="G67" s="26" t="s">
        <v>389</v>
      </c>
      <c r="H67" s="26" t="s">
        <v>389</v>
      </c>
      <c r="I67" s="26" t="s">
        <v>389</v>
      </c>
      <c r="J67" s="26" t="s">
        <v>389</v>
      </c>
      <c r="K67" s="26" t="s">
        <v>389</v>
      </c>
      <c r="L67" s="26" t="s">
        <v>389</v>
      </c>
      <c r="M67" s="26" t="s">
        <v>389</v>
      </c>
      <c r="N67" s="26" t="s">
        <v>389</v>
      </c>
      <c r="O67" s="26" t="s">
        <v>389</v>
      </c>
      <c r="P67" s="26" t="s">
        <v>388</v>
      </c>
      <c r="Q67" s="26" t="s">
        <v>388</v>
      </c>
      <c r="R67" s="26" t="s">
        <v>389</v>
      </c>
      <c r="S67" s="26" t="s">
        <v>389</v>
      </c>
      <c r="T67" s="26" t="s">
        <v>388</v>
      </c>
      <c r="U67" s="26" t="s">
        <v>388</v>
      </c>
      <c r="V67" s="26" t="s">
        <v>388</v>
      </c>
      <c r="W67" s="26" t="s">
        <v>388</v>
      </c>
      <c r="X67" t="s">
        <v>388</v>
      </c>
      <c r="Y67" t="s">
        <v>388</v>
      </c>
      <c r="Z67" t="s">
        <v>388</v>
      </c>
      <c r="AA67" t="s">
        <v>388</v>
      </c>
      <c r="AB67" t="s">
        <v>388</v>
      </c>
      <c r="AC67" t="s">
        <v>388</v>
      </c>
      <c r="AD67" t="s">
        <v>388</v>
      </c>
    </row>
    <row r="68" spans="3:30">
      <c r="C68" t="s">
        <v>389</v>
      </c>
      <c r="D68" s="21">
        <v>1</v>
      </c>
      <c r="E68" t="s">
        <v>388</v>
      </c>
      <c r="F68" t="s">
        <v>388</v>
      </c>
      <c r="G68" t="s">
        <v>388</v>
      </c>
      <c r="H68" t="s">
        <v>388</v>
      </c>
      <c r="I68" t="s">
        <v>388</v>
      </c>
      <c r="J68" t="s">
        <v>388</v>
      </c>
      <c r="K68" t="s">
        <v>388</v>
      </c>
      <c r="L68" t="s">
        <v>388</v>
      </c>
      <c r="M68" t="s">
        <v>388</v>
      </c>
      <c r="N68" t="s">
        <v>388</v>
      </c>
      <c r="O68" t="s">
        <v>388</v>
      </c>
      <c r="P68" s="26" t="s">
        <v>387</v>
      </c>
      <c r="Q68" s="26" t="s">
        <v>387</v>
      </c>
      <c r="R68" t="s">
        <v>388</v>
      </c>
      <c r="S68" t="s">
        <v>388</v>
      </c>
      <c r="T68" s="26" t="s">
        <v>387</v>
      </c>
      <c r="U68" s="26" t="s">
        <v>387</v>
      </c>
      <c r="V68" s="26" t="s">
        <v>387</v>
      </c>
      <c r="W68" s="26" t="s">
        <v>387</v>
      </c>
      <c r="X68" t="s">
        <v>387</v>
      </c>
      <c r="Y68" t="s">
        <v>387</v>
      </c>
      <c r="Z68" t="s">
        <v>387</v>
      </c>
      <c r="AA68" t="s">
        <v>387</v>
      </c>
      <c r="AB68" t="s">
        <v>387</v>
      </c>
      <c r="AC68" t="s">
        <v>387</v>
      </c>
      <c r="AD68" t="s">
        <v>387</v>
      </c>
    </row>
    <row r="69" spans="3:30">
      <c r="C69" t="s">
        <v>390</v>
      </c>
      <c r="D69" s="21">
        <v>1</v>
      </c>
      <c r="E69" t="s">
        <v>387</v>
      </c>
      <c r="F69" t="s">
        <v>387</v>
      </c>
      <c r="G69" t="s">
        <v>387</v>
      </c>
      <c r="H69" t="s">
        <v>387</v>
      </c>
      <c r="I69" t="s">
        <v>387</v>
      </c>
      <c r="J69" t="s">
        <v>387</v>
      </c>
      <c r="K69" t="s">
        <v>387</v>
      </c>
      <c r="L69" t="s">
        <v>387</v>
      </c>
      <c r="M69" t="s">
        <v>387</v>
      </c>
      <c r="N69" t="s">
        <v>387</v>
      </c>
      <c r="O69" t="s">
        <v>387</v>
      </c>
      <c r="P69" t="s">
        <v>391</v>
      </c>
      <c r="Q69" t="s">
        <v>391</v>
      </c>
      <c r="R69" t="s">
        <v>387</v>
      </c>
      <c r="S69" t="s">
        <v>387</v>
      </c>
      <c r="T69" t="s">
        <v>391</v>
      </c>
      <c r="U69" t="s">
        <v>391</v>
      </c>
      <c r="V69" t="s">
        <v>391</v>
      </c>
      <c r="W69" t="s">
        <v>391</v>
      </c>
      <c r="X69" t="s">
        <v>391</v>
      </c>
      <c r="Y69" t="s">
        <v>391</v>
      </c>
      <c r="Z69" t="s">
        <v>391</v>
      </c>
      <c r="AA69" t="s">
        <v>391</v>
      </c>
      <c r="AB69" t="s">
        <v>391</v>
      </c>
      <c r="AC69" t="s">
        <v>391</v>
      </c>
      <c r="AD69" t="s">
        <v>391</v>
      </c>
    </row>
    <row r="70" spans="3:30">
      <c r="C70" t="s">
        <v>391</v>
      </c>
      <c r="D70" s="21">
        <v>1</v>
      </c>
      <c r="P70" t="s">
        <v>392</v>
      </c>
      <c r="Q70" t="s">
        <v>392</v>
      </c>
      <c r="T70" t="s">
        <v>392</v>
      </c>
      <c r="U70" t="s">
        <v>392</v>
      </c>
      <c r="V70" t="s">
        <v>392</v>
      </c>
      <c r="W70" t="s">
        <v>392</v>
      </c>
      <c r="X70" t="s">
        <v>392</v>
      </c>
      <c r="Y70" t="s">
        <v>392</v>
      </c>
      <c r="Z70" t="s">
        <v>392</v>
      </c>
      <c r="AA70" t="s">
        <v>392</v>
      </c>
      <c r="AB70" t="s">
        <v>392</v>
      </c>
      <c r="AC70" t="s">
        <v>392</v>
      </c>
      <c r="AD70" t="s">
        <v>392</v>
      </c>
    </row>
    <row r="71" spans="3:30">
      <c r="C71" t="s">
        <v>392</v>
      </c>
      <c r="D71" s="21">
        <v>1</v>
      </c>
    </row>
    <row r="72" spans="3:30">
      <c r="E72" s="26"/>
      <c r="F72" s="26"/>
      <c r="G72" s="26"/>
      <c r="H72" s="26"/>
      <c r="I72" s="26"/>
      <c r="J72" s="26"/>
      <c r="K72" s="26"/>
      <c r="L72" s="26"/>
      <c r="M72" s="26"/>
      <c r="N72" s="26"/>
      <c r="O72" s="26"/>
      <c r="P72" s="26"/>
      <c r="Q72" s="26"/>
      <c r="R72" s="26"/>
      <c r="S72" s="26"/>
      <c r="T72" s="26"/>
      <c r="U72" s="26"/>
      <c r="V72" s="26"/>
    </row>
    <row r="73" spans="3:30">
      <c r="E73" s="26"/>
      <c r="F73" s="26"/>
      <c r="G73" s="26"/>
      <c r="H73" s="26"/>
      <c r="I73" s="26"/>
      <c r="J73" s="26"/>
      <c r="K73" s="26"/>
      <c r="L73" s="26"/>
      <c r="M73" s="26"/>
      <c r="N73" s="26"/>
      <c r="O73" s="26"/>
      <c r="P73" s="26"/>
      <c r="Q73" s="26"/>
      <c r="R73" s="26"/>
      <c r="S73" s="26"/>
      <c r="T73" s="26"/>
      <c r="U73" s="26"/>
      <c r="V73" s="26"/>
    </row>
    <row r="79" spans="3:30" ht="17" thickBot="1">
      <c r="C79" s="23" t="s">
        <v>242</v>
      </c>
    </row>
    <row r="80" spans="3:30" ht="31" thickBot="1">
      <c r="C80" s="10" t="s">
        <v>37</v>
      </c>
      <c r="D80" s="11" t="s">
        <v>3</v>
      </c>
      <c r="E80" s="12" t="s">
        <v>4</v>
      </c>
      <c r="F80" s="13" t="s">
        <v>5</v>
      </c>
    </row>
    <row r="81" spans="3:15" ht="37" thickBot="1">
      <c r="C81" s="2" t="s">
        <v>6</v>
      </c>
      <c r="D81" s="3" t="s">
        <v>7</v>
      </c>
      <c r="E81" s="4">
        <v>1.0660000000000001</v>
      </c>
      <c r="F81" s="5" t="s">
        <v>19</v>
      </c>
    </row>
    <row r="82" spans="3:15" ht="37" thickBot="1">
      <c r="C82" s="2" t="s">
        <v>31</v>
      </c>
      <c r="D82" s="3" t="s">
        <v>8</v>
      </c>
      <c r="E82" s="4">
        <v>0.191</v>
      </c>
      <c r="F82" s="5" t="s">
        <v>20</v>
      </c>
    </row>
    <row r="83" spans="3:15" ht="37" thickBot="1">
      <c r="C83" s="2" t="s">
        <v>32</v>
      </c>
      <c r="D83" s="3" t="s">
        <v>9</v>
      </c>
      <c r="E83" s="4">
        <v>0.28699999999999998</v>
      </c>
      <c r="F83" s="5" t="s">
        <v>21</v>
      </c>
    </row>
    <row r="84" spans="3:15" ht="37" thickBot="1">
      <c r="C84" s="2" t="s">
        <v>33</v>
      </c>
      <c r="D84" s="3" t="s">
        <v>10</v>
      </c>
      <c r="E84" s="4">
        <v>0.23899999999999999</v>
      </c>
      <c r="F84" s="5" t="s">
        <v>22</v>
      </c>
    </row>
    <row r="85" spans="3:15" ht="19" thickBot="1">
      <c r="C85" s="2" t="s">
        <v>34</v>
      </c>
      <c r="D85" s="3" t="s">
        <v>11</v>
      </c>
      <c r="E85" s="4">
        <v>0.877</v>
      </c>
      <c r="F85" s="5" t="s">
        <v>23</v>
      </c>
    </row>
    <row r="86" spans="3:15" ht="37" thickBot="1">
      <c r="C86" s="2" t="s">
        <v>12</v>
      </c>
      <c r="D86" s="3" t="s">
        <v>7</v>
      </c>
      <c r="E86" s="4">
        <v>1.155</v>
      </c>
      <c r="F86" s="5" t="s">
        <v>24</v>
      </c>
    </row>
    <row r="87" spans="3:15" ht="19" thickBot="1">
      <c r="C87" s="2" t="s">
        <v>48</v>
      </c>
      <c r="D87" s="3" t="s">
        <v>7</v>
      </c>
      <c r="E87" s="4">
        <v>0.73399999999999999</v>
      </c>
      <c r="F87" s="5" t="s">
        <v>25</v>
      </c>
    </row>
    <row r="88" spans="3:15" ht="19" thickBot="1">
      <c r="C88" s="2" t="s">
        <v>35</v>
      </c>
      <c r="D88" s="3" t="s">
        <v>13</v>
      </c>
      <c r="E88" s="4">
        <v>3.1E-2</v>
      </c>
      <c r="F88" s="5" t="s">
        <v>26</v>
      </c>
    </row>
    <row r="89" spans="3:15" ht="19" thickBot="1">
      <c r="C89" s="2" t="s">
        <v>14</v>
      </c>
      <c r="D89" s="3" t="s">
        <v>7</v>
      </c>
      <c r="E89" s="4">
        <v>1</v>
      </c>
      <c r="F89" s="5" t="s">
        <v>15</v>
      </c>
    </row>
    <row r="90" spans="3:15" ht="19" thickBot="1">
      <c r="C90" s="2" t="s">
        <v>46</v>
      </c>
      <c r="D90" s="3" t="s">
        <v>16</v>
      </c>
      <c r="E90" s="4">
        <v>1.0189999999999999</v>
      </c>
      <c r="F90" s="5" t="s">
        <v>27</v>
      </c>
    </row>
    <row r="91" spans="3:15" ht="19" thickBot="1">
      <c r="C91" s="2" t="s">
        <v>47</v>
      </c>
      <c r="D91" s="3" t="s">
        <v>7</v>
      </c>
      <c r="E91" s="4">
        <v>0.25600000000000001</v>
      </c>
      <c r="F91" s="5" t="s">
        <v>28</v>
      </c>
    </row>
    <row r="92" spans="3:15" ht="37" thickBot="1">
      <c r="C92" s="2" t="s">
        <v>17</v>
      </c>
      <c r="D92" s="3" t="s">
        <v>36</v>
      </c>
      <c r="E92" s="4">
        <v>0.66600000000000004</v>
      </c>
      <c r="F92" s="5" t="s">
        <v>29</v>
      </c>
    </row>
    <row r="93" spans="3:15" ht="19" thickBot="1">
      <c r="C93" s="6" t="s">
        <v>18</v>
      </c>
      <c r="D93" s="7" t="s">
        <v>7</v>
      </c>
      <c r="E93" s="8">
        <v>0.75800000000000001</v>
      </c>
      <c r="F93" s="9" t="s">
        <v>30</v>
      </c>
    </row>
    <row r="94" spans="3:15" ht="19" thickBot="1">
      <c r="C94" s="6" t="s">
        <v>43</v>
      </c>
      <c r="D94" s="7" t="s">
        <v>45</v>
      </c>
      <c r="E94" s="8"/>
      <c r="F94" s="9"/>
    </row>
    <row r="95" spans="3:15" ht="17">
      <c r="C95" s="19"/>
      <c r="D95" s="19"/>
      <c r="E95" s="117"/>
      <c r="F95" s="19"/>
    </row>
    <row r="96" spans="3:15" ht="17" thickBot="1">
      <c r="J96" s="428"/>
      <c r="K96" s="428"/>
      <c r="L96" s="428"/>
      <c r="M96" s="428"/>
      <c r="N96" s="428"/>
      <c r="O96" s="428"/>
    </row>
    <row r="97" spans="3:15" ht="17" thickBot="1">
      <c r="C97" s="10" t="s">
        <v>40</v>
      </c>
      <c r="J97" s="428"/>
      <c r="K97" s="428"/>
      <c r="L97" s="428"/>
      <c r="M97" s="428"/>
      <c r="N97" s="428"/>
      <c r="O97" s="428"/>
    </row>
    <row r="98" spans="3:15" ht="19" thickBot="1">
      <c r="C98" s="2" t="s">
        <v>31</v>
      </c>
      <c r="J98" s="428"/>
      <c r="K98" s="428"/>
      <c r="L98" s="428"/>
      <c r="M98" s="428"/>
      <c r="N98" s="428"/>
      <c r="O98" s="428"/>
    </row>
    <row r="99" spans="3:15" ht="19" thickBot="1">
      <c r="C99" s="2" t="s">
        <v>32</v>
      </c>
    </row>
    <row r="100" spans="3:15" ht="19" thickBot="1">
      <c r="C100" s="2" t="s">
        <v>33</v>
      </c>
    </row>
    <row r="101" spans="3:15" ht="19" thickBot="1">
      <c r="C101" s="2" t="s">
        <v>34</v>
      </c>
    </row>
    <row r="102" spans="3:15" ht="17" thickBot="1"/>
    <row r="103" spans="3:15" ht="17" thickBot="1">
      <c r="C103" s="10" t="s">
        <v>44</v>
      </c>
    </row>
    <row r="104" spans="3:15" ht="19" thickBot="1">
      <c r="C104" s="2" t="s">
        <v>46</v>
      </c>
    </row>
    <row r="105" spans="3:15" ht="19" thickBot="1">
      <c r="C105" s="2" t="s">
        <v>47</v>
      </c>
    </row>
    <row r="107" spans="3:15" ht="17" thickBot="1"/>
    <row r="108" spans="3:15" ht="17" thickBot="1">
      <c r="C108" s="10" t="s">
        <v>49</v>
      </c>
    </row>
    <row r="109" spans="3:15" ht="19" thickBot="1">
      <c r="C109" s="2" t="s">
        <v>50</v>
      </c>
    </row>
    <row r="110" spans="3:15" ht="19" thickBot="1">
      <c r="C110" s="2" t="s">
        <v>51</v>
      </c>
    </row>
    <row r="111" spans="3:15" ht="19" thickBot="1">
      <c r="C111" s="2" t="s">
        <v>52</v>
      </c>
    </row>
    <row r="112" spans="3:15" ht="17">
      <c r="C112" s="19"/>
    </row>
    <row r="113" spans="3:9" ht="18">
      <c r="C113" s="118" t="s">
        <v>241</v>
      </c>
    </row>
    <row r="114" spans="3:9" ht="17" thickBot="1">
      <c r="C114" s="16" t="s">
        <v>38</v>
      </c>
      <c r="D114" s="17" t="s">
        <v>39</v>
      </c>
      <c r="E114" s="20" t="s">
        <v>71</v>
      </c>
      <c r="G114" s="23" t="s">
        <v>72</v>
      </c>
    </row>
    <row r="115" spans="3:9" ht="19" thickBot="1">
      <c r="C115" s="3" t="s">
        <v>1</v>
      </c>
      <c r="D115" s="15" t="s">
        <v>40</v>
      </c>
      <c r="E115" s="22" t="s">
        <v>73</v>
      </c>
      <c r="G115" t="s">
        <v>73</v>
      </c>
      <c r="H115" s="21">
        <v>1</v>
      </c>
    </row>
    <row r="116" spans="3:9" ht="19" thickBot="1">
      <c r="C116" s="3" t="s">
        <v>144</v>
      </c>
      <c r="D116" s="15" t="s">
        <v>14</v>
      </c>
      <c r="E116" s="22" t="s">
        <v>74</v>
      </c>
      <c r="G116" t="s">
        <v>74</v>
      </c>
      <c r="H116" s="21">
        <v>0</v>
      </c>
    </row>
    <row r="117" spans="3:9" ht="19" thickBot="1">
      <c r="C117" s="3" t="s">
        <v>2</v>
      </c>
      <c r="D117" s="15" t="s">
        <v>48</v>
      </c>
      <c r="E117" s="22" t="s">
        <v>76</v>
      </c>
      <c r="G117" t="s">
        <v>75</v>
      </c>
      <c r="H117" s="21">
        <v>0.40600000000000003</v>
      </c>
      <c r="I117" t="s">
        <v>226</v>
      </c>
    </row>
    <row r="118" spans="3:9" ht="19" thickBot="1">
      <c r="C118" s="3" t="s">
        <v>41</v>
      </c>
      <c r="D118" s="15" t="s">
        <v>12</v>
      </c>
      <c r="E118" s="22" t="s">
        <v>74</v>
      </c>
      <c r="G118" t="s">
        <v>76</v>
      </c>
      <c r="H118" s="21"/>
    </row>
    <row r="119" spans="3:9" ht="19" thickBot="1">
      <c r="C119" s="3" t="s">
        <v>69</v>
      </c>
      <c r="D119" s="15" t="s">
        <v>35</v>
      </c>
      <c r="E119" s="22" t="s">
        <v>73</v>
      </c>
    </row>
    <row r="120" spans="3:9" ht="19" thickBot="1">
      <c r="C120" s="3" t="s">
        <v>70</v>
      </c>
      <c r="D120" s="15" t="s">
        <v>35</v>
      </c>
      <c r="E120" s="22" t="s">
        <v>75</v>
      </c>
    </row>
    <row r="121" spans="3:9" ht="19" thickBot="1">
      <c r="C121" s="3" t="s">
        <v>42</v>
      </c>
      <c r="D121" s="15" t="s">
        <v>44</v>
      </c>
      <c r="E121" s="22" t="s">
        <v>73</v>
      </c>
    </row>
    <row r="122" spans="3:9" ht="19" thickBot="1">
      <c r="C122" s="3" t="s">
        <v>43</v>
      </c>
      <c r="D122" s="15" t="s">
        <v>43</v>
      </c>
      <c r="E122" s="22" t="s">
        <v>73</v>
      </c>
    </row>
    <row r="123" spans="3:9" ht="19" thickBot="1">
      <c r="C123" s="3" t="s">
        <v>17</v>
      </c>
      <c r="D123" s="15" t="s">
        <v>17</v>
      </c>
      <c r="E123" s="22" t="s">
        <v>73</v>
      </c>
    </row>
    <row r="124" spans="3:9" ht="18">
      <c r="C124" s="18" t="s">
        <v>18</v>
      </c>
      <c r="D124" s="19" t="s">
        <v>18</v>
      </c>
      <c r="E124" s="22" t="s">
        <v>73</v>
      </c>
    </row>
    <row r="125" spans="3:9" ht="17">
      <c r="C125" s="19"/>
    </row>
    <row r="126" spans="3:9" ht="18" thickBot="1">
      <c r="C126" s="19"/>
    </row>
    <row r="127" spans="3:9" ht="17" thickBot="1">
      <c r="C127" s="10" t="s">
        <v>67</v>
      </c>
      <c r="D127" s="11" t="s">
        <v>39</v>
      </c>
    </row>
    <row r="128" spans="3:9" ht="19" thickBot="1">
      <c r="C128" s="3" t="s">
        <v>14</v>
      </c>
      <c r="D128" s="3" t="s">
        <v>14</v>
      </c>
    </row>
    <row r="129" spans="3:6" ht="19" thickBot="1">
      <c r="C129" s="3" t="s">
        <v>12</v>
      </c>
      <c r="D129" s="3" t="s">
        <v>12</v>
      </c>
    </row>
    <row r="130" spans="3:6" ht="17">
      <c r="C130" s="19"/>
    </row>
    <row r="131" spans="3:6" ht="17">
      <c r="C131" s="19"/>
    </row>
    <row r="132" spans="3:6" ht="17">
      <c r="C132" s="19"/>
    </row>
    <row r="134" spans="3:6" ht="18">
      <c r="C134" s="309" t="s">
        <v>348</v>
      </c>
    </row>
    <row r="136" spans="3:6">
      <c r="C136" t="s">
        <v>349</v>
      </c>
    </row>
    <row r="137" spans="3:6">
      <c r="C137" t="s">
        <v>422</v>
      </c>
      <c r="D137" t="s">
        <v>421</v>
      </c>
      <c r="E137" t="s">
        <v>350</v>
      </c>
      <c r="F137" t="s">
        <v>351</v>
      </c>
    </row>
    <row r="138" spans="3:6">
      <c r="C138" t="s">
        <v>352</v>
      </c>
      <c r="D138" t="s">
        <v>352</v>
      </c>
      <c r="E138" t="s">
        <v>12</v>
      </c>
      <c r="F138" t="s">
        <v>12</v>
      </c>
    </row>
    <row r="139" spans="3:6">
      <c r="C139" t="s">
        <v>12</v>
      </c>
      <c r="E139" t="s">
        <v>14</v>
      </c>
      <c r="F139" t="s">
        <v>14</v>
      </c>
    </row>
    <row r="140" spans="3:6">
      <c r="C140" t="s">
        <v>14</v>
      </c>
      <c r="E140" t="s">
        <v>353</v>
      </c>
      <c r="F140" t="s">
        <v>353</v>
      </c>
    </row>
    <row r="141" spans="3:6">
      <c r="C141" t="s">
        <v>353</v>
      </c>
      <c r="E141" t="s">
        <v>354</v>
      </c>
      <c r="F141" t="s">
        <v>354</v>
      </c>
    </row>
    <row r="142" spans="3:6">
      <c r="C142" t="s">
        <v>354</v>
      </c>
      <c r="E142" t="s">
        <v>355</v>
      </c>
      <c r="F142" t="s">
        <v>355</v>
      </c>
    </row>
    <row r="143" spans="3:6">
      <c r="C143" t="s">
        <v>355</v>
      </c>
      <c r="E143" t="s">
        <v>79</v>
      </c>
      <c r="F143" t="s">
        <v>79</v>
      </c>
    </row>
    <row r="144" spans="3:6">
      <c r="C144" t="s">
        <v>79</v>
      </c>
    </row>
    <row r="146" spans="3:27">
      <c r="C146" t="s">
        <v>371</v>
      </c>
    </row>
    <row r="147" spans="3:27" ht="19">
      <c r="C147" t="s">
        <v>356</v>
      </c>
      <c r="L147" t="s">
        <v>357</v>
      </c>
      <c r="X147" s="119" t="s">
        <v>55</v>
      </c>
      <c r="Y147" s="120" t="s">
        <v>56</v>
      </c>
      <c r="Z147" s="121" t="s">
        <v>57</v>
      </c>
    </row>
    <row r="148" spans="3:27" ht="17">
      <c r="C148" t="s">
        <v>358</v>
      </c>
      <c r="D148" t="s">
        <v>352</v>
      </c>
      <c r="E148" t="s">
        <v>12</v>
      </c>
      <c r="F148" t="s">
        <v>14</v>
      </c>
      <c r="G148" t="s">
        <v>353</v>
      </c>
      <c r="H148" t="s">
        <v>354</v>
      </c>
      <c r="I148" t="s">
        <v>355</v>
      </c>
      <c r="J148" t="s">
        <v>79</v>
      </c>
      <c r="L148" s="310" t="s">
        <v>173</v>
      </c>
      <c r="M148" s="311" t="s">
        <v>359</v>
      </c>
      <c r="X148" s="122" t="s">
        <v>58</v>
      </c>
      <c r="Y148" s="123"/>
      <c r="Z148" s="124"/>
    </row>
    <row r="149" spans="3:27" ht="51">
      <c r="C149" t="s">
        <v>422</v>
      </c>
      <c r="D149" s="312">
        <v>0.85672237165434162</v>
      </c>
      <c r="E149" s="312">
        <v>0.41637749999999984</v>
      </c>
      <c r="F149" s="312">
        <v>0.41637749999999984</v>
      </c>
      <c r="G149" s="312">
        <v>0.44306830615384607</v>
      </c>
      <c r="H149" s="312">
        <v>0.48310451538461519</v>
      </c>
      <c r="I149" s="312">
        <v>0.54983153076923053</v>
      </c>
      <c r="J149" s="312">
        <v>0.68328556153846143</v>
      </c>
      <c r="L149" s="305" t="s">
        <v>422</v>
      </c>
      <c r="M149" s="1" t="s">
        <v>360</v>
      </c>
      <c r="X149" s="125" t="s">
        <v>244</v>
      </c>
      <c r="Z149" s="115"/>
    </row>
    <row r="150" spans="3:27" ht="153">
      <c r="C150" t="s">
        <v>421</v>
      </c>
      <c r="D150">
        <f>1-0.6</f>
        <v>0.4</v>
      </c>
      <c r="E150" s="312"/>
      <c r="F150" s="312"/>
      <c r="L150" s="305" t="s">
        <v>421</v>
      </c>
      <c r="M150" s="1" t="s">
        <v>423</v>
      </c>
      <c r="X150" s="125" t="s">
        <v>245</v>
      </c>
      <c r="Z150" s="316" t="s">
        <v>246</v>
      </c>
    </row>
    <row r="151" spans="3:27" ht="136">
      <c r="C151" t="s">
        <v>350</v>
      </c>
      <c r="D151" s="312">
        <v>0</v>
      </c>
      <c r="E151" s="312">
        <v>0.92399999999999993</v>
      </c>
      <c r="F151" s="312">
        <v>0.92399999999999993</v>
      </c>
      <c r="G151" s="312">
        <v>0.94247999999999998</v>
      </c>
      <c r="H151" s="312">
        <v>0.97019999999999995</v>
      </c>
      <c r="I151" s="312">
        <v>1.0164</v>
      </c>
      <c r="J151" s="312">
        <v>1.1087999999999998</v>
      </c>
      <c r="L151" s="313" t="s">
        <v>350</v>
      </c>
      <c r="M151" s="1" t="s">
        <v>361</v>
      </c>
      <c r="X151" s="126" t="s">
        <v>247</v>
      </c>
      <c r="Y151">
        <v>17.600000000000001</v>
      </c>
      <c r="Z151" s="316"/>
    </row>
    <row r="152" spans="3:27" ht="255">
      <c r="C152" t="s">
        <v>351</v>
      </c>
      <c r="D152" s="312">
        <v>0</v>
      </c>
      <c r="E152" s="312">
        <v>0.92399999999999993</v>
      </c>
      <c r="F152" s="312">
        <v>0.92399999999999993</v>
      </c>
      <c r="G152" s="312">
        <v>0.94247999999999998</v>
      </c>
      <c r="H152" s="312">
        <v>0.97019999999999995</v>
      </c>
      <c r="I152" s="312">
        <v>1.0164</v>
      </c>
      <c r="J152" s="312">
        <v>1.1087999999999998</v>
      </c>
      <c r="L152" s="313" t="s">
        <v>351</v>
      </c>
      <c r="M152" s="1" t="s">
        <v>362</v>
      </c>
      <c r="X152" s="126" t="s">
        <v>248</v>
      </c>
      <c r="Y152">
        <v>14.3</v>
      </c>
      <c r="Z152" s="316"/>
    </row>
    <row r="153" spans="3:27">
      <c r="E153" s="312"/>
      <c r="F153" s="312"/>
      <c r="X153" s="126" t="s">
        <v>249</v>
      </c>
      <c r="Y153">
        <v>16.2</v>
      </c>
      <c r="Z153" s="316"/>
    </row>
    <row r="154" spans="3:27">
      <c r="X154" s="126"/>
      <c r="Z154" s="316"/>
    </row>
    <row r="155" spans="3:27" ht="34" customHeight="1">
      <c r="C155" t="s">
        <v>363</v>
      </c>
      <c r="D155" t="s">
        <v>364</v>
      </c>
      <c r="X155" s="127" t="s">
        <v>250</v>
      </c>
      <c r="Z155" s="316"/>
    </row>
    <row r="156" spans="3:27">
      <c r="C156" t="s">
        <v>365</v>
      </c>
      <c r="D156" t="s">
        <v>421</v>
      </c>
      <c r="E156" t="s">
        <v>422</v>
      </c>
      <c r="F156" t="s">
        <v>350</v>
      </c>
      <c r="G156" t="s">
        <v>351</v>
      </c>
      <c r="X156" s="126" t="s">
        <v>251</v>
      </c>
      <c r="Y156">
        <v>10.5</v>
      </c>
      <c r="Z156" s="316"/>
    </row>
    <row r="157" spans="3:27">
      <c r="C157" t="s">
        <v>366</v>
      </c>
      <c r="D157">
        <f>4*250</f>
        <v>1000</v>
      </c>
      <c r="E157" s="25">
        <v>750</v>
      </c>
      <c r="F157">
        <v>2100</v>
      </c>
      <c r="G157">
        <v>2100</v>
      </c>
      <c r="Y157" s="126" t="s">
        <v>252</v>
      </c>
      <c r="Z157">
        <v>8.5</v>
      </c>
      <c r="AA157" s="316"/>
    </row>
    <row r="158" spans="3:27">
      <c r="C158" t="s">
        <v>367</v>
      </c>
      <c r="Y158" s="126" t="s">
        <v>253</v>
      </c>
      <c r="Z158">
        <v>7.9</v>
      </c>
      <c r="AA158" s="316"/>
    </row>
    <row r="159" spans="3:27">
      <c r="Y159" s="126" t="s">
        <v>254</v>
      </c>
      <c r="Z159">
        <v>7</v>
      </c>
      <c r="AA159" s="316"/>
    </row>
    <row r="160" spans="3:27">
      <c r="C160" s="43" t="s">
        <v>165</v>
      </c>
      <c r="D160" s="43" t="s">
        <v>166</v>
      </c>
      <c r="F160" t="s">
        <v>368</v>
      </c>
      <c r="X160" s="126" t="s">
        <v>255</v>
      </c>
      <c r="Y160">
        <v>8</v>
      </c>
      <c r="Z160" s="316"/>
    </row>
    <row r="161" spans="3:26">
      <c r="C161" s="42"/>
      <c r="D161" s="42"/>
      <c r="F161" t="s">
        <v>369</v>
      </c>
      <c r="X161" s="127" t="s">
        <v>256</v>
      </c>
      <c r="Z161" s="316"/>
    </row>
    <row r="162" spans="3:26">
      <c r="C162" s="42">
        <v>2400</v>
      </c>
      <c r="D162" s="42">
        <v>1.1499999999999999</v>
      </c>
      <c r="F162" t="s">
        <v>370</v>
      </c>
      <c r="X162" s="126" t="s">
        <v>257</v>
      </c>
      <c r="Y162">
        <v>6.4</v>
      </c>
      <c r="Z162" s="316"/>
    </row>
    <row r="163" spans="3:26">
      <c r="X163" s="126" t="s">
        <v>258</v>
      </c>
      <c r="Y163">
        <v>5.7</v>
      </c>
      <c r="Z163" s="316"/>
    </row>
    <row r="164" spans="3:26">
      <c r="X164" s="128" t="s">
        <v>259</v>
      </c>
      <c r="Y164" s="116">
        <v>5.8</v>
      </c>
      <c r="Z164" s="317"/>
    </row>
    <row r="165" spans="3:26">
      <c r="C165" t="s">
        <v>232</v>
      </c>
    </row>
    <row r="166" spans="3:26" ht="34">
      <c r="C166" t="s">
        <v>88</v>
      </c>
      <c r="D166" t="s">
        <v>80</v>
      </c>
      <c r="E166" t="s">
        <v>99</v>
      </c>
      <c r="F166" t="s">
        <v>0</v>
      </c>
      <c r="G166" t="s">
        <v>100</v>
      </c>
      <c r="H166" t="s">
        <v>101</v>
      </c>
      <c r="I166" s="1" t="s">
        <v>120</v>
      </c>
      <c r="J166" s="1" t="s">
        <v>122</v>
      </c>
    </row>
    <row r="167" spans="3:26" ht="34">
      <c r="C167" s="1" t="str">
        <f t="shared" ref="C167:C177" si="0">D167&amp;" (Class "&amp;E167&amp;", Fuel - "&amp;F167&amp;", Engine l - "&amp;G167&amp;", GVWR "&amp;H167&amp;" lb)"</f>
        <v>Passenger Car (Ford Focus) (Class 1, Fuel - G, Engine l - 2, GVWR - lb)</v>
      </c>
      <c r="D167" t="s">
        <v>89</v>
      </c>
      <c r="E167" s="24">
        <v>1</v>
      </c>
      <c r="F167" t="s">
        <v>105</v>
      </c>
      <c r="G167" s="24" t="s">
        <v>107</v>
      </c>
      <c r="H167" s="29" t="s">
        <v>110</v>
      </c>
      <c r="I167">
        <v>0.16</v>
      </c>
      <c r="J167">
        <v>0.28999999999999998</v>
      </c>
    </row>
    <row r="168" spans="3:26" ht="51">
      <c r="C168" s="1" t="str">
        <f t="shared" si="0"/>
        <v>Passenger Car (Volkswagen Jetta) (Class 1, Fuel - D, Engine l - 2, GVWR - lb)</v>
      </c>
      <c r="D168" t="s">
        <v>90</v>
      </c>
      <c r="E168" s="24">
        <v>1</v>
      </c>
      <c r="F168" t="s">
        <v>106</v>
      </c>
      <c r="G168" s="24" t="s">
        <v>107</v>
      </c>
      <c r="H168" s="29" t="s">
        <v>110</v>
      </c>
      <c r="I168">
        <v>0.17</v>
      </c>
      <c r="J168">
        <v>0.39</v>
      </c>
    </row>
    <row r="169" spans="3:26" ht="51">
      <c r="C169" s="1" t="str">
        <f t="shared" si="0"/>
        <v>Passenger Car (Ford Crown Victoria) (Class 1, Fuel - G, Engine l - 4.6, GVWR - lb)</v>
      </c>
      <c r="D169" t="s">
        <v>91</v>
      </c>
      <c r="E169" s="24">
        <v>1</v>
      </c>
      <c r="F169" t="s">
        <v>105</v>
      </c>
      <c r="G169" s="24" t="s">
        <v>108</v>
      </c>
      <c r="H169" s="29" t="s">
        <v>110</v>
      </c>
      <c r="I169">
        <v>0.39</v>
      </c>
      <c r="J169">
        <v>0.59</v>
      </c>
    </row>
    <row r="170" spans="3:26" ht="51">
      <c r="C170" s="1" t="str">
        <f t="shared" si="0"/>
        <v>Medium Heavy Truck (Class 6, Fuel - G, Engine l - 5-7, GVWR 19,700 - 26,000 lb)</v>
      </c>
      <c r="D170" t="s">
        <v>92</v>
      </c>
      <c r="E170" s="24">
        <v>6</v>
      </c>
      <c r="F170" t="s">
        <v>105</v>
      </c>
      <c r="G170" s="24" t="s">
        <v>109</v>
      </c>
      <c r="H170" s="24" t="s">
        <v>112</v>
      </c>
      <c r="I170">
        <v>0.84</v>
      </c>
    </row>
    <row r="171" spans="3:26" ht="34">
      <c r="C171" s="1" t="str">
        <f t="shared" si="0"/>
        <v>Delivery Truck (Class 5, Fuel - D, Engine l - -, GVWR 19,500 lb)</v>
      </c>
      <c r="D171" t="s">
        <v>93</v>
      </c>
      <c r="E171" s="24">
        <v>5</v>
      </c>
      <c r="F171" t="s">
        <v>106</v>
      </c>
      <c r="G171" s="29" t="s">
        <v>110</v>
      </c>
      <c r="H171" s="24" t="s">
        <v>113</v>
      </c>
      <c r="I171">
        <v>0.84</v>
      </c>
      <c r="J171">
        <v>1.1000000000000001</v>
      </c>
    </row>
    <row r="172" spans="3:26" ht="34">
      <c r="C172" s="1" t="str">
        <f t="shared" si="0"/>
        <v>Tow Truck (Class 6, Fuel - D, Engine l - -, GVWR 26,000 lb)</v>
      </c>
      <c r="D172" t="s">
        <v>94</v>
      </c>
      <c r="E172" s="24">
        <v>6</v>
      </c>
      <c r="F172" t="s">
        <v>106</v>
      </c>
      <c r="G172" s="29" t="s">
        <v>110</v>
      </c>
      <c r="H172" s="24" t="s">
        <v>114</v>
      </c>
      <c r="I172">
        <v>0.59</v>
      </c>
      <c r="J172">
        <v>1.1399999999999999</v>
      </c>
    </row>
    <row r="173" spans="3:26" ht="51">
      <c r="C173" s="1" t="str">
        <f t="shared" si="0"/>
        <v>Medium Heavy Truck (Class 6 - 7, Fuel - D, Engine l - 6 - 10, GVWR 23,000 - 33,000 lb)</v>
      </c>
      <c r="D173" t="s">
        <v>92</v>
      </c>
      <c r="E173" s="24" t="s">
        <v>102</v>
      </c>
      <c r="F173" t="s">
        <v>106</v>
      </c>
      <c r="G173" s="24" t="s">
        <v>111</v>
      </c>
      <c r="H173" s="24" t="s">
        <v>115</v>
      </c>
      <c r="I173">
        <v>0.44</v>
      </c>
    </row>
    <row r="174" spans="3:26" ht="34">
      <c r="C174" s="1" t="str">
        <f t="shared" si="0"/>
        <v>Transit Bus (Class 7, Fuel - D, Engine l - -, GVWR 30,000 lb)</v>
      </c>
      <c r="D174" t="s">
        <v>95</v>
      </c>
      <c r="E174" s="24" t="s">
        <v>103</v>
      </c>
      <c r="F174" t="s">
        <v>106</v>
      </c>
      <c r="G174" s="29" t="s">
        <v>110</v>
      </c>
      <c r="H174" s="24" t="s">
        <v>116</v>
      </c>
      <c r="I174">
        <v>0.97</v>
      </c>
    </row>
    <row r="175" spans="3:26" ht="34">
      <c r="C175" s="1" t="str">
        <f t="shared" si="0"/>
        <v>Combination Truck (Class 7, Fuel - D, Engine l - -, GVWR 32,000 lb)</v>
      </c>
      <c r="D175" t="s">
        <v>96</v>
      </c>
      <c r="E175" s="24" t="s">
        <v>103</v>
      </c>
      <c r="F175" t="s">
        <v>106</v>
      </c>
      <c r="G175" s="29" t="s">
        <v>110</v>
      </c>
      <c r="H175" s="24" t="s">
        <v>117</v>
      </c>
      <c r="I175">
        <v>0.49</v>
      </c>
    </row>
    <row r="176" spans="3:26" ht="34">
      <c r="C176" s="1" t="str">
        <f t="shared" si="0"/>
        <v>Bucket Truck (Class 8, Fuel - D, Engine l - -, GVWR 37,000 lb)</v>
      </c>
      <c r="D176" t="s">
        <v>97</v>
      </c>
      <c r="E176" s="24" t="s">
        <v>104</v>
      </c>
      <c r="F176" t="s">
        <v>106</v>
      </c>
      <c r="G176" s="29" t="s">
        <v>110</v>
      </c>
      <c r="H176" s="24" t="s">
        <v>118</v>
      </c>
      <c r="I176">
        <v>0.9</v>
      </c>
      <c r="J176">
        <v>1.5</v>
      </c>
    </row>
    <row r="177" spans="3:14" ht="34">
      <c r="C177" s="1" t="str">
        <f t="shared" si="0"/>
        <v>Tractor-Semitrailer (Class 8, Fuel - D, Engine l - -, GVWR 80,000 lb)</v>
      </c>
      <c r="D177" t="s">
        <v>98</v>
      </c>
      <c r="E177" s="24" t="s">
        <v>104</v>
      </c>
      <c r="F177" t="s">
        <v>106</v>
      </c>
      <c r="G177" s="29" t="s">
        <v>110</v>
      </c>
      <c r="H177" s="24" t="s">
        <v>119</v>
      </c>
      <c r="I177">
        <v>0.64</v>
      </c>
      <c r="J177">
        <v>1.1499999999999999</v>
      </c>
    </row>
    <row r="180" spans="3:14">
      <c r="D180" s="26"/>
    </row>
    <row r="181" spans="3:14">
      <c r="C181" s="23" t="s">
        <v>243</v>
      </c>
      <c r="D181" s="26"/>
    </row>
    <row r="182" spans="3:14">
      <c r="C182" t="str">
        <f ca="1">IF(Idle_loadselection="with load","Default_fuel_use_wload","Default_fuel_use_wo_load")</f>
        <v>Default_fuel_use_wo_load</v>
      </c>
      <c r="D182" s="26"/>
    </row>
    <row r="183" spans="3:14">
      <c r="D183" s="26"/>
    </row>
    <row r="184" spans="3:14">
      <c r="C184" s="23" t="s">
        <v>137</v>
      </c>
    </row>
    <row r="185" spans="3:14" ht="85">
      <c r="C185" t="s">
        <v>124</v>
      </c>
      <c r="D185" s="1" t="s">
        <v>127</v>
      </c>
      <c r="E185" s="1" t="s">
        <v>128</v>
      </c>
      <c r="F185" s="1" t="s">
        <v>121</v>
      </c>
      <c r="G185" s="1" t="s">
        <v>129</v>
      </c>
      <c r="H185" s="1" t="s">
        <v>130</v>
      </c>
      <c r="I185" s="1" t="s">
        <v>131</v>
      </c>
      <c r="J185" s="1" t="s">
        <v>132</v>
      </c>
      <c r="K185" s="1" t="s">
        <v>133</v>
      </c>
      <c r="L185" s="1" t="s">
        <v>134</v>
      </c>
      <c r="M185" s="1" t="s">
        <v>135</v>
      </c>
      <c r="N185" s="1" t="s">
        <v>136</v>
      </c>
    </row>
    <row r="186" spans="3:14">
      <c r="C186" t="s">
        <v>123</v>
      </c>
      <c r="D186">
        <v>0.28999999999999998</v>
      </c>
      <c r="E186">
        <v>0.39</v>
      </c>
      <c r="F186">
        <v>0.59</v>
      </c>
      <c r="H186">
        <v>1.1000000000000001</v>
      </c>
      <c r="I186">
        <v>1.1399999999999999</v>
      </c>
      <c r="M186">
        <v>1.5</v>
      </c>
      <c r="N186">
        <v>1.1499999999999999</v>
      </c>
    </row>
    <row r="187" spans="3:14">
      <c r="C187" t="s">
        <v>126</v>
      </c>
    </row>
    <row r="189" spans="3:14">
      <c r="C189" s="23" t="s">
        <v>138</v>
      </c>
    </row>
    <row r="190" spans="3:14" ht="85">
      <c r="C190" t="s">
        <v>124</v>
      </c>
      <c r="D190" s="1" t="s">
        <v>127</v>
      </c>
      <c r="E190" s="1" t="s">
        <v>128</v>
      </c>
      <c r="F190" s="1" t="s">
        <v>121</v>
      </c>
      <c r="G190" s="1" t="s">
        <v>129</v>
      </c>
      <c r="H190" s="1" t="s">
        <v>130</v>
      </c>
      <c r="I190" s="1" t="s">
        <v>131</v>
      </c>
      <c r="J190" s="1" t="s">
        <v>132</v>
      </c>
      <c r="K190" s="1" t="s">
        <v>133</v>
      </c>
      <c r="L190" s="1" t="s">
        <v>134</v>
      </c>
      <c r="M190" s="1" t="s">
        <v>135</v>
      </c>
      <c r="N190" s="1" t="s">
        <v>136</v>
      </c>
    </row>
    <row r="191" spans="3:14">
      <c r="C191" t="s">
        <v>125</v>
      </c>
      <c r="D191">
        <v>0.16</v>
      </c>
      <c r="E191">
        <v>0.17</v>
      </c>
      <c r="F191">
        <v>0.39</v>
      </c>
      <c r="G191">
        <v>0.84</v>
      </c>
      <c r="H191">
        <v>0.84</v>
      </c>
      <c r="I191">
        <v>0.59</v>
      </c>
      <c r="J191">
        <v>0.44</v>
      </c>
      <c r="K191">
        <v>0.97</v>
      </c>
      <c r="L191">
        <v>0.49</v>
      </c>
      <c r="M191">
        <v>0.9</v>
      </c>
      <c r="N191">
        <v>0.64</v>
      </c>
    </row>
    <row r="192" spans="3:14">
      <c r="C192" t="s">
        <v>126</v>
      </c>
    </row>
    <row r="194" spans="4:4">
      <c r="D194" s="26"/>
    </row>
  </sheetData>
  <mergeCells count="1">
    <mergeCell ref="J96:O98"/>
  </mergeCells>
  <dataValidations count="3">
    <dataValidation allowBlank="1" showInputMessage="1" showErrorMessage="1" prompt="AFLEET, 2020. Background Data, Average Fuel Economy (miles per gasoline gallon equivalent)" sqref="P14:S14 P7:S7" xr:uid="{16E9E703-1239-5041-9BB5-D6C68BFB4B62}"/>
    <dataValidation allowBlank="1" showInputMessage="1" showErrorMessage="1" prompt="assume long-haul truck hotelling" sqref="F156:G156" xr:uid="{CA627CB9-39C7-7A40-935F-88B89726B354}"/>
    <dataValidation allowBlank="1" showInputMessage="1" showErrorMessage="1" prompt="Assume utility bucket truck" sqref="E156" xr:uid="{3A073C83-83E0-3244-8E64-7A3F4DF906A5}"/>
  </dataValidations>
  <hyperlinks>
    <hyperlink ref="D23" r:id="rId1" xr:uid="{E60EB4DC-9598-AD45-9D25-686CFCA8039D}"/>
  </hyperlinks>
  <pageMargins left="0.75" right="0.75" top="1" bottom="1" header="0.5" footer="0.5"/>
  <pageSetup orientation="portrait" horizontalDpi="4294967292" verticalDpi="4294967292" r:id="rId2"/>
  <drawing r:id="rId3"/>
  <tableParts count="12">
    <tablePart r:id="rId4"/>
    <tablePart r:id="rId5"/>
    <tablePart r:id="rId6"/>
    <tablePart r:id="rId7"/>
    <tablePart r:id="rId8"/>
    <tablePart r:id="rId9"/>
    <tablePart r:id="rId10"/>
    <tablePart r:id="rId11"/>
    <tablePart r:id="rId12"/>
    <tablePart r:id="rId13"/>
    <tablePart r:id="rId14"/>
    <tablePart r:id="rId15"/>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56</vt:i4>
      </vt:variant>
    </vt:vector>
  </HeadingPairs>
  <TitlesOfParts>
    <vt:vector size="64" baseType="lpstr">
      <vt:lpstr>Summary</vt:lpstr>
      <vt:lpstr>Improve Fuel Efficiency</vt:lpstr>
      <vt:lpstr>Use Alternative Fuels</vt:lpstr>
      <vt:lpstr>Biodiesel Blends</vt:lpstr>
      <vt:lpstr>VMT Reduction</vt:lpstr>
      <vt:lpstr>Idle Time Reduction</vt:lpstr>
      <vt:lpstr>ACV Inventory</vt:lpstr>
      <vt:lpstr>Lists</vt:lpstr>
      <vt:lpstr>ACV_Fuel_Lookup</vt:lpstr>
      <vt:lpstr>ACV_Fuels</vt:lpstr>
      <vt:lpstr>All_Alt</vt:lpstr>
      <vt:lpstr>Alt_Fuel_GGE</vt:lpstr>
      <vt:lpstr>Biodiesel_CF</vt:lpstr>
      <vt:lpstr>Biodiesel_end_BL</vt:lpstr>
      <vt:lpstr>Biodiesel_GGE</vt:lpstr>
      <vt:lpstr>Biodiesel_start_BL</vt:lpstr>
      <vt:lpstr>Biodiesel_tank_end</vt:lpstr>
      <vt:lpstr>Biodiesel_tank_start</vt:lpstr>
      <vt:lpstr>Biodiesel_tank_total</vt:lpstr>
      <vt:lpstr>Biodiesel_veh_total</vt:lpstr>
      <vt:lpstr>CNG_Lookup</vt:lpstr>
      <vt:lpstr>Conv_Fuel_Lookup</vt:lpstr>
      <vt:lpstr>Conv_Fuels_List</vt:lpstr>
      <vt:lpstr>credit_year</vt:lpstr>
      <vt:lpstr>DGGE</vt:lpstr>
      <vt:lpstr>Diesel</vt:lpstr>
      <vt:lpstr>E_85</vt:lpstr>
      <vt:lpstr>Electric</vt:lpstr>
      <vt:lpstr>fleet_name</vt:lpstr>
      <vt:lpstr>Fuel_List</vt:lpstr>
      <vt:lpstr>Gasoline</vt:lpstr>
      <vt:lpstr>H2_Lookup</vt:lpstr>
      <vt:lpstr>Idle_red_total</vt:lpstr>
      <vt:lpstr>Idle_table</vt:lpstr>
      <vt:lpstr>Idle_VehicleType</vt:lpstr>
      <vt:lpstr>LNG</vt:lpstr>
      <vt:lpstr>loc_AltFuels</vt:lpstr>
      <vt:lpstr>loc_biodiesel</vt:lpstr>
      <vt:lpstr>loc_idle</vt:lpstr>
      <vt:lpstr>loc_onboard_idle_red</vt:lpstr>
      <vt:lpstr>loc_ReplaceVeh</vt:lpstr>
      <vt:lpstr>loc_truckstop_elec</vt:lpstr>
      <vt:lpstr>loc_turn_engine_off</vt:lpstr>
      <vt:lpstr>loc_VMT</vt:lpstr>
      <vt:lpstr>LPG</vt:lpstr>
      <vt:lpstr>MYend</vt:lpstr>
      <vt:lpstr>MYstart</vt:lpstr>
      <vt:lpstr>Net_GGE</vt:lpstr>
      <vt:lpstr>no_Alt</vt:lpstr>
      <vt:lpstr>Onboard_Equip</vt:lpstr>
      <vt:lpstr>Onboard_hrs</vt:lpstr>
      <vt:lpstr>plugin_Alt</vt:lpstr>
      <vt:lpstr>PRR</vt:lpstr>
      <vt:lpstr>Pseries</vt:lpstr>
      <vt:lpstr>Replace_vehicles_GGE</vt:lpstr>
      <vt:lpstr>Replaced_Vehicles</vt:lpstr>
      <vt:lpstr>Tbl_Fuel_Conversions</vt:lpstr>
      <vt:lpstr>Total_actual_GGE</vt:lpstr>
      <vt:lpstr>TrkStop_hours</vt:lpstr>
      <vt:lpstr>TrkStop_idle_fuel</vt:lpstr>
      <vt:lpstr>user_percent</vt:lpstr>
      <vt:lpstr>variable_percent</vt:lpstr>
      <vt:lpstr>VMT_Calculation_Method</vt:lpstr>
      <vt:lpstr>VMT_GGE</vt:lpstr>
    </vt:vector>
  </TitlesOfParts>
  <Company>NREL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Darlene Steward</dc:creator>
  <cp:lastModifiedBy>Steward, Darlene</cp:lastModifiedBy>
  <dcterms:created xsi:type="dcterms:W3CDTF">2013-07-29T20:30:14Z</dcterms:created>
  <dcterms:modified xsi:type="dcterms:W3CDTF">2023-10-20T01:52:53Z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5965d95-ecc0-4720-b759-1f33c42ed7da_Enabled">
    <vt:lpwstr>true</vt:lpwstr>
  </property>
  <property fmtid="{D5CDD505-2E9C-101B-9397-08002B2CF9AE}" pid="3" name="MSIP_Label_95965d95-ecc0-4720-b759-1f33c42ed7da_SetDate">
    <vt:lpwstr>2023-10-20T01:20:29Z</vt:lpwstr>
  </property>
  <property fmtid="{D5CDD505-2E9C-101B-9397-08002B2CF9AE}" pid="4" name="MSIP_Label_95965d95-ecc0-4720-b759-1f33c42ed7da_Method">
    <vt:lpwstr>Standard</vt:lpwstr>
  </property>
  <property fmtid="{D5CDD505-2E9C-101B-9397-08002B2CF9AE}" pid="5" name="MSIP_Label_95965d95-ecc0-4720-b759-1f33c42ed7da_Name">
    <vt:lpwstr>General</vt:lpwstr>
  </property>
  <property fmtid="{D5CDD505-2E9C-101B-9397-08002B2CF9AE}" pid="6" name="MSIP_Label_95965d95-ecc0-4720-b759-1f33c42ed7da_SiteId">
    <vt:lpwstr>a0f29d7e-28cd-4f54-8442-7885aee7c080</vt:lpwstr>
  </property>
  <property fmtid="{D5CDD505-2E9C-101B-9397-08002B2CF9AE}" pid="7" name="MSIP_Label_95965d95-ecc0-4720-b759-1f33c42ed7da_ActionId">
    <vt:lpwstr>21b78062-c8db-4279-91c0-cfbc8bbc0e36</vt:lpwstr>
  </property>
  <property fmtid="{D5CDD505-2E9C-101B-9397-08002B2CF9AE}" pid="8" name="MSIP_Label_95965d95-ecc0-4720-b759-1f33c42ed7da_ContentBits">
    <vt:lpwstr>0</vt:lpwstr>
  </property>
</Properties>
</file>