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drawings/drawing3.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drawings/drawing4.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drawings/drawing5.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drawings/drawing6.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drawings/drawing7.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drawings/drawing8.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drawings/drawing9.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drawings/drawing10.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codeName="ThisWorkbook" autoCompressPictures="0"/>
  <mc:AlternateContent xmlns:mc="http://schemas.openxmlformats.org/markup-compatibility/2006">
    <mc:Choice Requires="x15">
      <x15ac:absPath xmlns:x15ac="http://schemas.microsoft.com/office/spreadsheetml/2010/11/ac" url="/Users/dsteward/Documents/EPACT/EPAct Fleet Reporting/EPACT reporting emails/MY 24 Reporting/"/>
    </mc:Choice>
  </mc:AlternateContent>
  <xr:revisionPtr revIDLastSave="0" documentId="13_ncr:1_{FFCDF88B-D841-AD4E-954B-4ADC757B004D}" xr6:coauthVersionLast="47" xr6:coauthVersionMax="47" xr10:uidLastSave="{00000000-0000-0000-0000-000000000000}"/>
  <bookViews>
    <workbookView xWindow="17800" yWindow="500" windowWidth="20340" windowHeight="19580" tabRatio="760" xr2:uid="{00000000-000D-0000-FFFF-FFFF00000000}"/>
  </bookViews>
  <sheets>
    <sheet name="AC Plan Summary" sheetId="17" r:id="rId1"/>
    <sheet name="Alternative Fuels" sheetId="15" r:id="rId2"/>
    <sheet name="PHEVs" sheetId="18" r:id="rId3"/>
    <sheet name="Biodiesel Blends" sheetId="19" r:id="rId4"/>
    <sheet name="Fuel Economy" sheetId="20" r:id="rId5"/>
    <sheet name="VMT Reduction" sheetId="21" r:id="rId6"/>
    <sheet name="Truck Stop Electrification" sheetId="22" r:id="rId7"/>
    <sheet name="Idle Time Reduction" sheetId="23" r:id="rId8"/>
    <sheet name="Onboard IR" sheetId="24" r:id="rId9"/>
    <sheet name="Sheet1" sheetId="27" state="hidden" r:id="rId10"/>
    <sheet name="Lists" sheetId="4" state="hidden" r:id="rId11"/>
  </sheets>
  <definedNames>
    <definedName name="ACV_Fuel_Lookup">Lists!$C$24:$E$30</definedName>
    <definedName name="ACV_Fuels">General_Fuel_List[ACV_Fuel_Lookup]</definedName>
    <definedName name="All_Alt">Lists!$H$24</definedName>
    <definedName name="Alt_Fuel_GGE">'Alternative Fuels'!$D$36</definedName>
    <definedName name="Alt_MPG_Lookup">Lists!$C$120:$C$126</definedName>
    <definedName name="Baseline_MPG">Lists!$D$184</definedName>
    <definedName name="Biodiesel_blends">Biodiesel_blendfactors[Blend_factors]</definedName>
    <definedName name="Biodiesel_CF">Lists!$E$7</definedName>
    <definedName name="Biodiesel_GGE">'Biodiesel Blends'!$D$38</definedName>
    <definedName name="CNG_Lookup">Lists!$C$33:$C$36</definedName>
    <definedName name="Conv_Fuel_Lookup">Lists!$F$32:$G$34</definedName>
    <definedName name="Conv_Fuels_List">Lists!$F$33:$F$34</definedName>
    <definedName name="credit_year" localSheetId="0">'AC Plan Summary'!$E$31</definedName>
    <definedName name="Default_fuel_use_wload">INDIRECT("Idle_fuel_lists_load["&amp;Idle_vehicle_selected&amp;"]")</definedName>
    <definedName name="Default_fuel_use_wo_load">INDIRECT("Idle_fuel_lists_noload["&amp;Idle_vehicle_selected&amp;"]")</definedName>
    <definedName name="Default_MPG">INDIRECT("Default_MPG_values["&amp;MPG_vehicle_selected&amp;"]")</definedName>
    <definedName name="Default_MPG2">INDIRECT("Default_MPG_values["&amp;MPG2_vehicle_selected&amp;"]")</definedName>
    <definedName name="Default_Onboard_Savings">INDIRECT("tbl_OnboardIdle_default["&amp;sel_onboard_type&amp;"]")</definedName>
    <definedName name="DGGE">Lists!$E$12</definedName>
    <definedName name="Diesel">Lists!$C$12</definedName>
    <definedName name="Diesel_Vehicle_Type">Lists!$C$91:$C$102</definedName>
    <definedName name="E_85">Lists!$C$13</definedName>
    <definedName name="Electric">Lists!$C$14</definedName>
    <definedName name="fleet_name" localSheetId="0">'AC Plan Summary'!$E$19</definedName>
    <definedName name="Fuel_List">Lists!$C$7:$C$20</definedName>
    <definedName name="Gasoline">Lists!$C$15</definedName>
    <definedName name="H2_Lookup">Lists!$C$39:$C$40</definedName>
    <definedName name="Idle_loadselection">OFFSET('Idle Time Reduction'!$I1,0,-1)</definedName>
    <definedName name="Idle_red_total">'Onboard IR'!$D$36</definedName>
    <definedName name="Idle_table">Lists!$C$130</definedName>
    <definedName name="Idle_vehicle_selected">OFFSET('Idle Time Reduction'!A1,0,-5)</definedName>
    <definedName name="Idle_VehicleType">Lists!$J$71:$J$81</definedName>
    <definedName name="List_of_vehicles">OFFSET('Fuel Economy'!#REF!,0,0,COUNTA(#REF!)-COUNTBLANK(#REF!),1)</definedName>
    <definedName name="LNG">Lists!$C$18</definedName>
    <definedName name="loc_AltFuels">'Alternative Fuels'!$A$32</definedName>
    <definedName name="loc_biodiesel">'Biodiesel Blends'!$A$32</definedName>
    <definedName name="loc_FuelEconomy">'Fuel Economy'!$A$32</definedName>
    <definedName name="loc_HEVs">PHEVs!$A$32</definedName>
    <definedName name="loc_idle">'Onboard IR'!$B$33</definedName>
    <definedName name="loc_IdleTime">'Idle Time Reduction'!$A$32</definedName>
    <definedName name="loc_IR">'Idle Time Reduction'!$A$32</definedName>
    <definedName name="loc_OnboardIR">'Onboard IR'!$A$32</definedName>
    <definedName name="loc_ReplaceVeh">'Fuel Economy'!$B$33</definedName>
    <definedName name="loc_summary">'AC Plan Summary'!$A$9</definedName>
    <definedName name="loc_TruckStop">'Truck Stop Electrification'!$A$32</definedName>
    <definedName name="loc_VMT">'VMT Reduction'!$A$32</definedName>
    <definedName name="LPG">Lists!$C$19</definedName>
    <definedName name="Makes_list">#REF!</definedName>
    <definedName name="max_remaining">VLOOKUP(Sel_vehicle_being_replaced,tbl_FuelEconomy[],9,FALSE)</definedName>
    <definedName name="MPG_Lookup">Lists!$C$107:$C$115</definedName>
    <definedName name="MPG_values">Lists!$F$186:$G$264</definedName>
    <definedName name="MPG_vehicle_selected">OFFSET(#REF!,0,-9)</definedName>
    <definedName name="MPG2_vehicle_selected">OFFSET(#REF!,0,-3)</definedName>
    <definedName name="MYend" localSheetId="0">'AC Plan Summary'!$I$31</definedName>
    <definedName name="MYstart" localSheetId="0">'AC Plan Summary'!$G$31</definedName>
    <definedName name="no_Alt">Lists!$H$25</definedName>
    <definedName name="Onboard_Equip">Lists!$L$60:$L$62</definedName>
    <definedName name="OnboardIR_GGE">'Onboard IR'!$D$36</definedName>
    <definedName name="PHEV_GGE">PHEVs!$D$38</definedName>
    <definedName name="plugin_Alt">Lists!$H$26</definedName>
    <definedName name="PRR">'AC Plan Summary'!$E$39</definedName>
    <definedName name="Pseries">Lists!$C$20</definedName>
    <definedName name="Replace_vehicles_GGE">'Fuel Economy'!$D$36</definedName>
    <definedName name="Replaced_Vehicles">tbl_FuelEconomy[Fuel (select from list)]</definedName>
    <definedName name="sel_onboard_type" localSheetId="8">OFFSET(#REF!,0,-4)</definedName>
    <definedName name="sel_onboard_type">OFFSET(#REF!,0,-4)</definedName>
    <definedName name="Tbl_Fuel_Conversions">Lists!$C$6:$F$20</definedName>
    <definedName name="temp_IdleEquipment" comment="dynamic variable to define the selected idle equipment type for the default dropdown list.">OFFSET('Onboard IR'!A1,0,-3)</definedName>
    <definedName name="temp_IdleFuel" comment="dynamic variable to define the idle reduction equipment fuel type.">OFFSET('Onboard IR'!A1,0,-3)</definedName>
    <definedName name="temp_Onboard_hrs" comment="IR type lookup for onboard IR default hours per year">OFFSET('Onboard IR'!A1,0,-3)</definedName>
    <definedName name="temp_OnBoardIR_type" comment="use the idle reduction equipment type to define the list of fuels available for the APU">OFFSET('Onboard IR'!A1,0,-1)</definedName>
    <definedName name="TrkStop_hours">Lists!$C$70:$C$71</definedName>
    <definedName name="TrkStop_idle_fuel">Lists!$D$70:$D$71</definedName>
    <definedName name="TruckStopIR_GGE">'Truck Stop Electrification'!$D$36</definedName>
    <definedName name="Typical_vehicle_FE" comment="lookup table for finding the fuel economy of a typical vehicle of the size selected by the user">Lists!$C$74:$D$87</definedName>
    <definedName name="user_percent">Lists!$H$27</definedName>
    <definedName name="variable_percent">Lists!$H$27</definedName>
    <definedName name="Vehicle_Size" comment="dropdown list for looking up the fuel economy of a &quot;typical&quot; conventional vehicle for &quot;Alternative Fuel Vehicles&quot; sheet">Lists!$C$75:$C$88</definedName>
    <definedName name="VehicleIR_GGE">'Idle Time Reduction'!$D$37</definedName>
    <definedName name="VMT_Calculation_Method">Lists!$C$43:$C$45</definedName>
    <definedName name="VMT_GGE">'VMT Reduction'!$D$35</definedName>
    <definedName name="VMT_vehicle_type">INDIRECT(IF(OFFSET('VMT Reduction'!A1,0,-1)="Gasoline","Vehicle_Size","Diesel_Vehicle_Type"))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6" i="23" l="1"/>
  <c r="J47" i="23"/>
  <c r="J48" i="23"/>
  <c r="J49" i="23"/>
  <c r="G45" i="22"/>
  <c r="G46" i="22"/>
  <c r="H41" i="21"/>
  <c r="H42" i="21"/>
  <c r="H43" i="21"/>
  <c r="H44" i="21"/>
  <c r="H45" i="21"/>
  <c r="H44" i="24"/>
  <c r="H45" i="24"/>
  <c r="F61" i="4"/>
  <c r="F62" i="4"/>
  <c r="H43" i="24"/>
  <c r="J62" i="4"/>
  <c r="J61" i="4"/>
  <c r="I62" i="4"/>
  <c r="I61" i="4"/>
  <c r="H62" i="4"/>
  <c r="H61" i="4"/>
  <c r="G62" i="4"/>
  <c r="G61" i="4"/>
  <c r="E62" i="4"/>
  <c r="E61" i="4"/>
  <c r="D66" i="4"/>
  <c r="V46" i="4"/>
  <c r="Z40" i="4"/>
  <c r="Z39" i="4"/>
  <c r="Z38" i="4"/>
  <c r="V49" i="4"/>
  <c r="V50" i="4"/>
  <c r="V51" i="4" s="1"/>
  <c r="O38" i="4" s="1"/>
  <c r="V43" i="4"/>
  <c r="V42" i="4"/>
  <c r="N39" i="4"/>
  <c r="Z42" i="4"/>
  <c r="Z41" i="4"/>
  <c r="M39" i="4"/>
  <c r="M40" i="4"/>
  <c r="M41" i="4"/>
  <c r="M42" i="4"/>
  <c r="M38" i="4"/>
  <c r="P40" i="4" l="1"/>
  <c r="Q43" i="4"/>
  <c r="P42" i="4"/>
  <c r="N40" i="4"/>
  <c r="O40" i="4"/>
  <c r="O42" i="4"/>
  <c r="N41" i="4"/>
  <c r="P38" i="4"/>
  <c r="N38" i="4"/>
  <c r="N42" i="4"/>
  <c r="M49" i="4"/>
  <c r="M50" i="4"/>
  <c r="M51" i="4"/>
  <c r="M52" i="4"/>
  <c r="M53" i="4"/>
  <c r="M54" i="4"/>
  <c r="H42" i="15"/>
  <c r="H43" i="15"/>
  <c r="H44" i="15"/>
  <c r="H45" i="15"/>
  <c r="H46" i="15"/>
  <c r="H47" i="15"/>
  <c r="H48" i="15"/>
  <c r="I44" i="18"/>
  <c r="I45" i="18"/>
  <c r="I46" i="18"/>
  <c r="I47" i="18"/>
  <c r="I48" i="18"/>
  <c r="H45" i="19"/>
  <c r="H46" i="19"/>
  <c r="H47" i="19"/>
  <c r="H48" i="19"/>
  <c r="H49" i="19"/>
  <c r="H50" i="19"/>
  <c r="H51" i="19"/>
  <c r="H52" i="19"/>
  <c r="H53" i="19"/>
  <c r="H54" i="19"/>
  <c r="H55" i="19"/>
  <c r="H56" i="19"/>
  <c r="H57" i="19"/>
  <c r="H58" i="19"/>
  <c r="H59" i="19"/>
  <c r="H60" i="19"/>
  <c r="H61" i="19"/>
  <c r="H62" i="19"/>
  <c r="H63" i="19"/>
  <c r="H64" i="19"/>
  <c r="H42" i="20"/>
  <c r="H43" i="20"/>
  <c r="H44" i="20"/>
  <c r="H45" i="20"/>
  <c r="E39" i="17"/>
  <c r="K61" i="20"/>
  <c r="K60" i="20"/>
  <c r="K59" i="20"/>
  <c r="K58" i="20"/>
  <c r="K57" i="20"/>
  <c r="K56" i="20"/>
  <c r="K55" i="20"/>
  <c r="K54" i="20"/>
  <c r="K53" i="20"/>
  <c r="K52" i="20"/>
  <c r="K51" i="20"/>
  <c r="K50" i="20"/>
  <c r="K49" i="20"/>
  <c r="K48" i="20"/>
  <c r="K47" i="20"/>
  <c r="K46" i="20"/>
  <c r="K45" i="20"/>
  <c r="K44" i="20"/>
  <c r="K42" i="20"/>
  <c r="L42" i="20"/>
  <c r="L61" i="20"/>
  <c r="L60" i="20"/>
  <c r="L59" i="20"/>
  <c r="L58" i="20"/>
  <c r="L57" i="20"/>
  <c r="L56" i="20"/>
  <c r="L55" i="20"/>
  <c r="L54" i="20"/>
  <c r="L53" i="20"/>
  <c r="L52" i="20"/>
  <c r="L51" i="20"/>
  <c r="L50" i="20"/>
  <c r="L49" i="20"/>
  <c r="L48" i="20"/>
  <c r="L47" i="20"/>
  <c r="L46" i="20"/>
  <c r="L45" i="20"/>
  <c r="L44" i="20"/>
  <c r="L41" i="20"/>
  <c r="K41" i="20"/>
  <c r="J41" i="20"/>
  <c r="V41" i="4"/>
  <c r="F46" i="22"/>
  <c r="I46" i="23"/>
  <c r="F45" i="22"/>
  <c r="E113" i="4"/>
  <c r="E114" i="4"/>
  <c r="I47" i="23"/>
  <c r="I48" i="23"/>
  <c r="I49" i="23"/>
  <c r="C39" i="17"/>
  <c r="I31" i="17"/>
  <c r="G31" i="17"/>
  <c r="E111" i="4"/>
  <c r="E110" i="4"/>
  <c r="E109" i="4"/>
  <c r="E108" i="4"/>
  <c r="H6" i="4"/>
  <c r="H109" i="4"/>
  <c r="H110" i="4"/>
  <c r="K172" i="4"/>
  <c r="L172" i="4" s="1"/>
  <c r="K173" i="4"/>
  <c r="L173" i="4" s="1"/>
  <c r="K174" i="4"/>
  <c r="L174" i="4" s="1"/>
  <c r="K175" i="4"/>
  <c r="L175" i="4" s="1"/>
  <c r="K176" i="4"/>
  <c r="L176" i="4" s="1"/>
  <c r="F177" i="4"/>
  <c r="G177" i="4"/>
  <c r="K177" i="4" s="1"/>
  <c r="L177" i="4" s="1"/>
  <c r="K178" i="4"/>
  <c r="L178" i="4" s="1"/>
  <c r="G200" i="4"/>
  <c r="G187" i="4"/>
  <c r="D107" i="4" s="1"/>
  <c r="C130" i="4"/>
  <c r="J81" i="4"/>
  <c r="J80" i="4"/>
  <c r="J79" i="4"/>
  <c r="J78" i="4"/>
  <c r="J77" i="4"/>
  <c r="J76" i="4"/>
  <c r="J75" i="4"/>
  <c r="J74" i="4"/>
  <c r="J73" i="4"/>
  <c r="J72" i="4"/>
  <c r="J71" i="4"/>
  <c r="G252" i="4"/>
  <c r="G220" i="4"/>
  <c r="G194" i="4"/>
  <c r="G210" i="4"/>
  <c r="G189" i="4"/>
  <c r="G188" i="4"/>
  <c r="G190" i="4"/>
  <c r="G191" i="4"/>
  <c r="G192" i="4"/>
  <c r="G193" i="4"/>
  <c r="G195" i="4"/>
  <c r="G196" i="4"/>
  <c r="G197" i="4"/>
  <c r="G198" i="4"/>
  <c r="G199" i="4"/>
  <c r="G201" i="4"/>
  <c r="G202" i="4"/>
  <c r="G203" i="4"/>
  <c r="G204" i="4"/>
  <c r="G205" i="4"/>
  <c r="G206" i="4"/>
  <c r="G207" i="4"/>
  <c r="G208" i="4"/>
  <c r="G209" i="4"/>
  <c r="G211" i="4"/>
  <c r="G212" i="4"/>
  <c r="G213" i="4"/>
  <c r="G214" i="4"/>
  <c r="G215" i="4"/>
  <c r="G216" i="4"/>
  <c r="G217" i="4"/>
  <c r="G218" i="4"/>
  <c r="G219"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3" i="4"/>
  <c r="G254" i="4"/>
  <c r="G255" i="4"/>
  <c r="G256" i="4"/>
  <c r="G257" i="4"/>
  <c r="G258" i="4"/>
  <c r="G259" i="4"/>
  <c r="G260" i="4"/>
  <c r="G261" i="4"/>
  <c r="G262" i="4"/>
  <c r="G263" i="4"/>
  <c r="G264" i="4"/>
  <c r="G186" i="4"/>
  <c r="H114" i="4"/>
  <c r="H112" i="4"/>
  <c r="H111" i="4"/>
  <c r="D157" i="4"/>
  <c r="D158" i="4" s="1"/>
  <c r="P43" i="4" l="1"/>
  <c r="O43" i="4"/>
  <c r="D38" i="18"/>
  <c r="D5" i="22" s="1"/>
  <c r="D36" i="15"/>
  <c r="D4" i="23" s="1"/>
  <c r="D35" i="21"/>
  <c r="D8" i="23" s="1"/>
  <c r="D37" i="23"/>
  <c r="D10" i="18" s="1"/>
  <c r="D38" i="19"/>
  <c r="D6" i="24" s="1"/>
  <c r="D36" i="22"/>
  <c r="D9" i="23" s="1"/>
  <c r="D36" i="20"/>
  <c r="D7" i="22" s="1"/>
  <c r="M43" i="4"/>
  <c r="P44" i="4" s="1"/>
  <c r="H113" i="4"/>
  <c r="O44" i="4" l="1"/>
  <c r="N43" i="4"/>
  <c r="D7" i="21"/>
  <c r="D36" i="24"/>
  <c r="D11" i="18" s="1"/>
  <c r="D8" i="21"/>
  <c r="D5" i="24"/>
  <c r="D7" i="15"/>
  <c r="D4" i="18"/>
  <c r="D4" i="24"/>
  <c r="D4" i="19"/>
  <c r="D4" i="21"/>
  <c r="D4" i="15"/>
  <c r="D10" i="21"/>
  <c r="D5" i="15"/>
  <c r="E49" i="17"/>
  <c r="D5" i="18"/>
  <c r="D5" i="23"/>
  <c r="D5" i="19"/>
  <c r="D4" i="22"/>
  <c r="D10" i="22"/>
  <c r="D5" i="21"/>
  <c r="D5" i="20"/>
  <c r="D10" i="20"/>
  <c r="D8" i="22"/>
  <c r="D8" i="24"/>
  <c r="D8" i="15"/>
  <c r="D8" i="18"/>
  <c r="D8" i="19"/>
  <c r="D8" i="20"/>
  <c r="D9" i="15"/>
  <c r="E52" i="17"/>
  <c r="E48" i="17"/>
  <c r="D4" i="20"/>
  <c r="D9" i="24"/>
  <c r="D6" i="23"/>
  <c r="E50" i="17"/>
  <c r="D9" i="18"/>
  <c r="D6" i="19"/>
  <c r="D9" i="19"/>
  <c r="D7" i="18"/>
  <c r="D6" i="18"/>
  <c r="D10" i="19"/>
  <c r="D6" i="20"/>
  <c r="D9" i="22"/>
  <c r="D7" i="23"/>
  <c r="D6" i="21"/>
  <c r="D10" i="24"/>
  <c r="D10" i="23"/>
  <c r="E51" i="17"/>
  <c r="D7" i="20"/>
  <c r="D6" i="22"/>
  <c r="E53" i="17"/>
  <c r="D10" i="15"/>
  <c r="D9" i="21"/>
  <c r="D9" i="20"/>
  <c r="E54" i="17"/>
  <c r="D7" i="24"/>
  <c r="D6" i="15"/>
  <c r="D7" i="19"/>
  <c r="I60" i="4" l="1"/>
  <c r="J60" i="4"/>
  <c r="H60" i="4"/>
  <c r="G60" i="4"/>
  <c r="P45" i="4"/>
  <c r="Q40" i="4"/>
  <c r="N44" i="4"/>
  <c r="N45" i="4" s="1"/>
  <c r="D60" i="4" s="1"/>
  <c r="Q41" i="4"/>
  <c r="Q38" i="4"/>
  <c r="Q39" i="4"/>
  <c r="Q42" i="4"/>
  <c r="D11" i="21"/>
  <c r="D11" i="20"/>
  <c r="D11" i="19"/>
  <c r="D11" i="22"/>
  <c r="D11" i="15"/>
  <c r="D11" i="23"/>
  <c r="E55" i="17"/>
  <c r="F56" i="17" s="1"/>
  <c r="D11" i="24"/>
  <c r="F60" i="4" l="1"/>
  <c r="E60" i="4"/>
</calcChain>
</file>

<file path=xl/sharedStrings.xml><?xml version="1.0" encoding="utf-8"?>
<sst xmlns="http://schemas.openxmlformats.org/spreadsheetml/2006/main" count="958" uniqueCount="573">
  <si>
    <t>Fuel Type</t>
  </si>
  <si>
    <t xml:space="preserve">CNG </t>
  </si>
  <si>
    <t xml:space="preserve">E85 </t>
  </si>
  <si>
    <t>Fuel Measurement Unit</t>
  </si>
  <si>
    <t>Conversion Factor</t>
  </si>
  <si>
    <t>GGE Calculation</t>
  </si>
  <si>
    <t>B100</t>
  </si>
  <si>
    <t>Gallons</t>
  </si>
  <si>
    <t>Gallons @ 2400 psi</t>
  </si>
  <si>
    <t>Gallons @ 3600 psi</t>
  </si>
  <si>
    <t>Gallons @ 3000 psi</t>
  </si>
  <si>
    <t>Hundred cubic feet</t>
  </si>
  <si>
    <t>Diesel</t>
  </si>
  <si>
    <t>kWh</t>
  </si>
  <si>
    <t>Gasoline</t>
  </si>
  <si>
    <t>GGE = Gasoline gal</t>
  </si>
  <si>
    <t>kg</t>
  </si>
  <si>
    <t>LNG</t>
  </si>
  <si>
    <t>LPG</t>
  </si>
  <si>
    <t>GGE = B100 gal x 1.017</t>
  </si>
  <si>
    <t>GGE = CNG gal (@ 2400 psi ) x 0.18</t>
  </si>
  <si>
    <t>GGE = CNG gal (@ 3600 psi) x 0.27</t>
  </si>
  <si>
    <t>GGE = CNG gal (@ 3000 psi) x 0.225</t>
  </si>
  <si>
    <t>GGE = CNG ccf x 0.83</t>
  </si>
  <si>
    <t>GGE = Diesel gal x 1.147</t>
  </si>
  <si>
    <t>GGE = E85 gal x 0.72</t>
  </si>
  <si>
    <t>GGE = Ele kWh x 0.03</t>
  </si>
  <si>
    <r>
      <t>GGE = H</t>
    </r>
    <r>
      <rPr>
        <sz val="6.5"/>
        <color rgb="FF363435"/>
        <rFont val="Arial Unicode MS"/>
        <family val="2"/>
      </rPr>
      <t xml:space="preserve">2 </t>
    </r>
    <r>
      <rPr>
        <sz val="11"/>
        <color rgb="FF363435"/>
        <rFont val="Arial Unicode MS"/>
        <family val="2"/>
      </rPr>
      <t>kg x 0.992</t>
    </r>
  </si>
  <si>
    <r>
      <t>GGE = H</t>
    </r>
    <r>
      <rPr>
        <sz val="6.5"/>
        <color rgb="FF363435"/>
        <rFont val="Arial Unicode MS"/>
        <family val="2"/>
      </rPr>
      <t xml:space="preserve">2 </t>
    </r>
    <r>
      <rPr>
        <sz val="11"/>
        <color rgb="FF363435"/>
        <rFont val="Arial Unicode MS"/>
        <family val="2"/>
      </rPr>
      <t>gal x 0.249</t>
    </r>
  </si>
  <si>
    <t>GGE = LNG gal x 0.66</t>
  </si>
  <si>
    <t>GGE = LPG gal x 0.74</t>
  </si>
  <si>
    <t>CNG (2400 psi)</t>
  </si>
  <si>
    <t>CNG (3600 psi)</t>
  </si>
  <si>
    <t>CNG (3000 psi)</t>
  </si>
  <si>
    <t>CNG (ccf)</t>
  </si>
  <si>
    <t>Electric</t>
  </si>
  <si>
    <t>Gallons @ 14.7 psi and -234˚F</t>
  </si>
  <si>
    <t>Fuel_List</t>
  </si>
  <si>
    <t>ACV_Fuel_Lookup</t>
  </si>
  <si>
    <t>Fuel List Value</t>
  </si>
  <si>
    <t>CNG_Lookup</t>
  </si>
  <si>
    <t>H2</t>
  </si>
  <si>
    <t>Pseries</t>
  </si>
  <si>
    <t>H2_Lookup</t>
  </si>
  <si>
    <t>Add</t>
  </si>
  <si>
    <t>Hydrogen (gas)</t>
  </si>
  <si>
    <t>Hydrogen (liq)</t>
  </si>
  <si>
    <t>E_85</t>
  </si>
  <si>
    <t>VMT_Calculation_Method</t>
  </si>
  <si>
    <t>Vehicle Records</t>
  </si>
  <si>
    <t>Estimate Based on Similar Vehicles</t>
  </si>
  <si>
    <t>Guess</t>
  </si>
  <si>
    <t>GGE</t>
  </si>
  <si>
    <t>Parameter</t>
  </si>
  <si>
    <t>Value</t>
  </si>
  <si>
    <t>Source</t>
  </si>
  <si>
    <t>Fuel Economy (FE) (in mpg) (cont.)</t>
  </si>
  <si>
    <t>Conversion Factors</t>
  </si>
  <si>
    <t>Unit</t>
  </si>
  <si>
    <t>Energy Content (Btu)</t>
  </si>
  <si>
    <t>1 cf NG</t>
  </si>
  <si>
    <t>EIA</t>
  </si>
  <si>
    <t>1 gallon gasoline</t>
  </si>
  <si>
    <t>1 kWh</t>
  </si>
  <si>
    <t>cf NG X conv. Factor = GGE</t>
  </si>
  <si>
    <t>Thousand cf NG</t>
  </si>
  <si>
    <t>GGE Conversion Factor</t>
  </si>
  <si>
    <t>Conv_Fuel_Lookup</t>
  </si>
  <si>
    <t>All Electric</t>
  </si>
  <si>
    <t>Percent_Alt_Fuel</t>
  </si>
  <si>
    <t>Fuel_Percent</t>
  </si>
  <si>
    <t>All_Alt</t>
  </si>
  <si>
    <t>no_Alt</t>
  </si>
  <si>
    <t>plugin_Alt</t>
  </si>
  <si>
    <t>user_percent</t>
  </si>
  <si>
    <t>Fuel</t>
  </si>
  <si>
    <t>Estimated VMT</t>
  </si>
  <si>
    <t>Fuel Economy (mpg)</t>
  </si>
  <si>
    <t>Petroleum Use (Btu/mmBtu of fuel)</t>
  </si>
  <si>
    <t>Unit of use</t>
  </si>
  <si>
    <t>LHV (Btu/Unit)</t>
  </si>
  <si>
    <t>Vehicle Fuel Consumption (Btu/mile) for petroleum use calculations</t>
  </si>
  <si>
    <t>WTP petroleum use (Btu/mmBtu fuel)</t>
  </si>
  <si>
    <t>Vehicle use petroleum use (Btu/mile)</t>
  </si>
  <si>
    <t>Miles traveled</t>
  </si>
  <si>
    <t>Fuel use (Btu/year)</t>
  </si>
  <si>
    <t>WTW petroleum use (Btu/year)</t>
  </si>
  <si>
    <t>Notes</t>
  </si>
  <si>
    <t>Equation</t>
  </si>
  <si>
    <t>lookup, (mixtures by volume if not available)</t>
  </si>
  <si>
    <t>lookup</t>
  </si>
  <si>
    <t>lookup (mixtures by volume if not available)</t>
  </si>
  <si>
    <t>user input</t>
  </si>
  <si>
    <t>=fuel consumption (Btu/mile) * miles (user input)</t>
  </si>
  <si>
    <t>= WTP petroleum use (Btu/mmBtu fuel)*mmBtu fuel use per year + vehicle petroleum use (Btu/mile)*miles/year</t>
  </si>
  <si>
    <t>gal</t>
  </si>
  <si>
    <t>Baseline CG and RFG</t>
  </si>
  <si>
    <t>E85</t>
  </si>
  <si>
    <t>Dedi. EtOH Vehicle: E85, Corn</t>
  </si>
  <si>
    <t>CNG</t>
  </si>
  <si>
    <t>ft3</t>
  </si>
  <si>
    <t>Compressed Natural Gas, NA NG</t>
  </si>
  <si>
    <t>B20</t>
  </si>
  <si>
    <t>not the correct values</t>
  </si>
  <si>
    <t>Vehicle Fuel Economy Conversion Factors</t>
  </si>
  <si>
    <t>FE Conversion Factor (based on miles/Btu)</t>
  </si>
  <si>
    <t>MPG (per gasoline equivalent gallon)</t>
  </si>
  <si>
    <t>Gasoline Vehicle: CARFG</t>
  </si>
  <si>
    <t>Gasoline Vehicle: Low-Level EtOH Blend with Gasoline</t>
  </si>
  <si>
    <t>Bi-fuel CNGV on CNG</t>
  </si>
  <si>
    <t>Dedicated CNGV</t>
  </si>
  <si>
    <t>Dedicated LNGV</t>
  </si>
  <si>
    <t>Dedicated LPGV</t>
  </si>
  <si>
    <t>MeOH Flexible-Fuel Vehicle</t>
  </si>
  <si>
    <t>Dedicated MeOH Vehicle</t>
  </si>
  <si>
    <t>EtOH Flexible-Fuel Vehicle</t>
  </si>
  <si>
    <t>BtOH Flexible-Fuel Vehicle</t>
  </si>
  <si>
    <t>Dedicated EtOH Vehicle</t>
  </si>
  <si>
    <t>H2 ICE Vehicle</t>
  </si>
  <si>
    <t>RG100 ICE Vehicle</t>
  </si>
  <si>
    <t>SIDI Vehicle: CG and RFG</t>
  </si>
  <si>
    <t>SIDI Vehicle: CARFG</t>
  </si>
  <si>
    <t>SIDI Vehicle: Low-Level EtOH Blend with Gasoline</t>
  </si>
  <si>
    <t>SIDI Dedicated MeOH Vehicle</t>
  </si>
  <si>
    <t>SIDI Dedicated EtOH Vehicle</t>
  </si>
  <si>
    <t>CIDI Vehicle: Conventional or LS Diesel</t>
  </si>
  <si>
    <t>CIDI Vehicle: Dimethyl Ether</t>
  </si>
  <si>
    <t>CIDI Vehicle: FT Diesel</t>
  </si>
  <si>
    <t>CIDI Vehicle: BD20</t>
  </si>
  <si>
    <t>CIDI Vehicle: RDII 100</t>
  </si>
  <si>
    <t>CIDI Vehicle: E-Diesel</t>
  </si>
  <si>
    <t>Grid-Independent SI HEV: CG and RFG</t>
  </si>
  <si>
    <t>Grid-Independent SI HEV: CARFG</t>
  </si>
  <si>
    <t>Grid-Independent SI HEV: Low-Level EtOH Blend with Gasoline</t>
  </si>
  <si>
    <t>Grid-Independent SI HEV: CNG</t>
  </si>
  <si>
    <t>Grid-Independent SI HEV: LNG</t>
  </si>
  <si>
    <t>Grid-Independent SI HEV: LPG</t>
  </si>
  <si>
    <t>Grid-Independent SI HEV: MeOH</t>
  </si>
  <si>
    <t>Grid-Independent SI HEV: EtOH</t>
  </si>
  <si>
    <t>Grid-Independent SI ICE HEV: H2</t>
  </si>
  <si>
    <t>Grid-Connected SI PHEV: CG and RFG, CD On-Board</t>
  </si>
  <si>
    <t>Grid-Connected SI PHEV: CG and RFG, CS Mode</t>
  </si>
  <si>
    <t>Grid-Connected SI PHEV: CARFG, CD On-Board</t>
  </si>
  <si>
    <t>Grid-Connected SI PHEV: CARFG, CS Mode</t>
  </si>
  <si>
    <t>Grid-Connected SI PHEV: Low-Level EtOH Blend with Gasoline, CD On-Board</t>
  </si>
  <si>
    <t>Grid-Connected SI PHEV: Low-Level EtOH Blend with Gasoline, CS Mode</t>
  </si>
  <si>
    <t>Grid-Connected SI PHEV: CNG, CD On-Board</t>
  </si>
  <si>
    <t>Grid-Connected SI PHEV: CNG, CS Mode</t>
  </si>
  <si>
    <t>Grid-Connected SI PHEV: LNG, CD On-Board</t>
  </si>
  <si>
    <t>Grid-Connected SI PHEV: LNG, CS Mode</t>
  </si>
  <si>
    <t>Grid-Connected SI PHEV: LPG, CD On-Board</t>
  </si>
  <si>
    <t>Grid-Connected SI PHEV: LPG, CS Mode</t>
  </si>
  <si>
    <t>Grid-Connected SI PHEV: MeOH, CD On-Board</t>
  </si>
  <si>
    <t>Grid-Connected SI PHEV: MeOH, CS Mode</t>
  </si>
  <si>
    <t>Grid-Connected SI PHEV: EtOH, CD On-Board</t>
  </si>
  <si>
    <t>Grid-Connected SI PHEV: EtOH, CS Mode</t>
  </si>
  <si>
    <t>Grid-Connected SI PHEV: H2, CD On-Board</t>
  </si>
  <si>
    <t>Grid-Connected SI PHEV: H2, CS Mode</t>
  </si>
  <si>
    <t>Grid-Independent CIDI HEV: Conventional and LS Diesel</t>
  </si>
  <si>
    <t>Grid-Independent CIDI HEVs: Dimethyl Ether</t>
  </si>
  <si>
    <t>Grid-Independent CIDI HEVs: FT Diesel</t>
  </si>
  <si>
    <t>Grid-Independent CIDI HEV: GD20</t>
  </si>
  <si>
    <t>Grid-Independent CIDI HEVs: E-Diesel</t>
  </si>
  <si>
    <t>Grid-Connected CIDI PHEVs: Conventional and LS Diesel, CD On-Board</t>
  </si>
  <si>
    <t>Grid-Connected CIDI PHEVs: Conventional and LS Diesel, CS Mode</t>
  </si>
  <si>
    <t>Grid-Connected CIDI PHEVs: Dimethyl Ether, CD On-Board</t>
  </si>
  <si>
    <t>Grid-Connected CIDI PHEVs: Dimethyl Ether, CS Mode</t>
  </si>
  <si>
    <t>Grid-Connected CIDI PHEVs: FT Diesel, CD On-Board</t>
  </si>
  <si>
    <t>Grid-Connected CIDI PHEVs: FT Diesel, CS Mode</t>
  </si>
  <si>
    <t>Grid-Connected CIDI PHEVs: Renewable Diesel Blend, CD On-Board</t>
  </si>
  <si>
    <t>Grid-Connected CIDI PHEV CS Mode: GD20</t>
  </si>
  <si>
    <t>Grid-Connected CIDI PHEVs: E-Diesel, CD On-Board</t>
  </si>
  <si>
    <t>Grid-Connected CIDI PHEVs: CS Mode, E-Diesel</t>
  </si>
  <si>
    <t>Electric Vehicle</t>
  </si>
  <si>
    <t>Hydrogen Fuel-Cell Vehicle</t>
  </si>
  <si>
    <t>Methanol Fuel-Cell Vehicle</t>
  </si>
  <si>
    <t>LS Gasoline Fuel-Cell Vehicle</t>
  </si>
  <si>
    <t>CARFG Fuel-Cell Vehicle</t>
  </si>
  <si>
    <t>LS Diesel Fuel-Cell Vehicle</t>
  </si>
  <si>
    <t>Ethanol Fuel-Cell Vehicle</t>
  </si>
  <si>
    <t>CNG Fuel-Cell Vehicle</t>
  </si>
  <si>
    <t>LNG Fuel-Cell Vehicle</t>
  </si>
  <si>
    <t>LPG Fuel-Cell Vehicle</t>
  </si>
  <si>
    <t>Naphtha Fuel-Cell Vehicle</t>
  </si>
  <si>
    <t>Grid-Connected FC PHEV: H2, CD On-Board</t>
  </si>
  <si>
    <t>Grid-Connected FC PHEV: H2, FC Mode</t>
  </si>
  <si>
    <t>Vehicle Type</t>
  </si>
  <si>
    <t>Percent B100 in Biodiesel Blend</t>
  </si>
  <si>
    <t>Vehicles</t>
  </si>
  <si>
    <t>Total Petroleum Reduction</t>
  </si>
  <si>
    <t>Software: GREET 1_2011 - original data</t>
  </si>
  <si>
    <t>rounded MPG</t>
  </si>
  <si>
    <t>Lookup MPG</t>
  </si>
  <si>
    <t>Baseline gasoline vehicle MPG</t>
  </si>
  <si>
    <t>Idle_VehicleType</t>
  </si>
  <si>
    <t>Passenger Car (Ford Focus)</t>
  </si>
  <si>
    <t>Passenger Car (Volkswagen Jetta)</t>
  </si>
  <si>
    <t>Passenger Car (Ford Crown Victoria)</t>
  </si>
  <si>
    <t>Medium Heavy Truck</t>
  </si>
  <si>
    <t>Delivery Truck</t>
  </si>
  <si>
    <t>Tow Truck</t>
  </si>
  <si>
    <t>Transit Bus</t>
  </si>
  <si>
    <t>Combination Truck</t>
  </si>
  <si>
    <t>Bucket Truck</t>
  </si>
  <si>
    <t>Tractor-Semitrailer</t>
  </si>
  <si>
    <t>Class</t>
  </si>
  <si>
    <t>Engine Size (l)</t>
  </si>
  <si>
    <t>GVWR (lb)</t>
  </si>
  <si>
    <t>6 - 7</t>
  </si>
  <si>
    <t>7</t>
  </si>
  <si>
    <t>8</t>
  </si>
  <si>
    <t>G</t>
  </si>
  <si>
    <t>D</t>
  </si>
  <si>
    <t>2</t>
  </si>
  <si>
    <t>4.6</t>
  </si>
  <si>
    <t>5-7</t>
  </si>
  <si>
    <t>-</t>
  </si>
  <si>
    <t>6 - 10</t>
  </si>
  <si>
    <t>19,700 - 26,000</t>
  </si>
  <si>
    <t>19,500</t>
  </si>
  <si>
    <t>26,000</t>
  </si>
  <si>
    <t>23,000 - 33,000</t>
  </si>
  <si>
    <t>30,000</t>
  </si>
  <si>
    <t>32,000</t>
  </si>
  <si>
    <t>37,000</t>
  </si>
  <si>
    <t>80,000</t>
  </si>
  <si>
    <t>No Load Idling Fuel Use (gal/h)</t>
  </si>
  <si>
    <t>Passenger Car (Ford Crown Victoria) (Class 1, Fuel - G, Engine l - 4.6, GVWR - lb)</t>
  </si>
  <si>
    <t>With Load Idling Fuel Use (gal/h)</t>
  </si>
  <si>
    <t>with load</t>
  </si>
  <si>
    <t>Load Selection</t>
  </si>
  <si>
    <t>without load</t>
  </si>
  <si>
    <t>blank</t>
  </si>
  <si>
    <t>Passenger Car (Ford Focus) (Class 1, Fuel - G, Engine l - 2, GVWR - lb)</t>
  </si>
  <si>
    <t>Passenger Car (Volkswagen Jetta) (Class 1, Fuel - D, Engine l - 2, GVWR - lb)</t>
  </si>
  <si>
    <t>Medium Heavy Truck (Class 6, Fuel - G, Engine l - 5-7, GVWR 19,700 - 26,000 lb)</t>
  </si>
  <si>
    <t>Delivery Truck (Class 5, Fuel - D, Engine l - -, GVWR 19,500 lb)</t>
  </si>
  <si>
    <t>Tow Truck (Class 6, Fuel - D, Engine l - -, GVWR 26,000 lb)</t>
  </si>
  <si>
    <t>Medium Heavy Truck (Class 6 - 7, Fuel - D, Engine l - 6 - 10, GVWR 23,000 - 33,000 lb)</t>
  </si>
  <si>
    <t>Transit Bus (Class 7, Fuel - D, Engine l - -, GVWR 30,000 lb)</t>
  </si>
  <si>
    <t>Combination Truck (Class 7, Fuel - D, Engine l - -, GVWR 32,000 lb)</t>
  </si>
  <si>
    <t>Bucket Truck (Class 8, Fuel - D, Engine l - -, GVWR 37,000 lb)</t>
  </si>
  <si>
    <t>Tractor-Semitrailer (Class 8, Fuel - D, Engine l - -, GVWR 80,000 lb)</t>
  </si>
  <si>
    <t>Idle_fuel_lists_load</t>
  </si>
  <si>
    <t>Idle_fuel_lists_noload</t>
  </si>
  <si>
    <t>Fuel Economy Default</t>
  </si>
  <si>
    <t>Selection</t>
  </si>
  <si>
    <t>default</t>
  </si>
  <si>
    <t>This page would be hidden</t>
  </si>
  <si>
    <t>https://www.dieselnet.com/standards/us/fe_hd.php</t>
  </si>
  <si>
    <t>The first US GHG emission and fuel consumption standards for heavy- and medium-duty vehicles were adopted on August 9, 2011 [2324]. The rule was jointly developed by the Environmental Protection Agency (EPA) and the National Highway Traffic Safety Administration (NHTSA), DOT. The NHTSA developed fuel consumption standards under the authority of the 2007 Energy Independence and Security Act (EISA), while the EPA developed a GHG emissions program under the Clean Air Act. The GHG program includes CO2 emission standards, as well as emission standards for N2O and CH4, and provisions to control hydrofluorocarbon leaks from air conditioning systems.</t>
  </si>
  <si>
    <t>The regulation covers model years (MY) 2014-2018, with NHTSA fuel economy standards being voluntary in MY 2014-2015 to satisfy EISA lead time requirements. The affected heavy- and medium-duty fleet incorporates all on-road vehicles rated at a GVW≥8,500 lbs, and the engines that power them, except those covered by the GHG emissions and Corporate Average Fuel Economy (CAFE) standards for MY 2012-2016 light-duty vehicles.</t>
  </si>
  <si>
    <t>GGE reduction from petroleum displacement or use of alternative fuels</t>
  </si>
  <si>
    <t>TrkStop_hours</t>
  </si>
  <si>
    <t>TrkStop_idle_fuel</t>
  </si>
  <si>
    <t>Petroleum Reduction (GGE/year)</t>
  </si>
  <si>
    <t>This idle reduction method allows drivers to plug their vehicles into truck stop stalls that power necessary systems without engine idling</t>
  </si>
  <si>
    <t>This idle reduction method refers to times that the vehicle engine is turned off instead of left idling.</t>
  </si>
  <si>
    <t>Reduce idling for vehicles such as delivery vans</t>
  </si>
  <si>
    <t>Reduce idling through truck stop electrification</t>
  </si>
  <si>
    <t>Reduce idling through onboard idle reduction</t>
  </si>
  <si>
    <t>Onboard_Equip</t>
  </si>
  <si>
    <t>APU</t>
  </si>
  <si>
    <t>Fleet Identification (* required field)</t>
  </si>
  <si>
    <t>Point of Contact Information</t>
  </si>
  <si>
    <t>Fleet ID Number:</t>
  </si>
  <si>
    <t>POC ID Number:</t>
  </si>
  <si>
    <t>*Fleet Name:</t>
  </si>
  <si>
    <t>*Name:</t>
  </si>
  <si>
    <t>Local name:</t>
  </si>
  <si>
    <t>Mailing Address (if different from fleet mailing address)</t>
  </si>
  <si>
    <t>Parent Organization:</t>
  </si>
  <si>
    <t>*Mailing Address:</t>
  </si>
  <si>
    <t>City:</t>
  </si>
  <si>
    <t>State:</t>
  </si>
  <si>
    <t>Zip (xxxxx-xxxx):</t>
  </si>
  <si>
    <t>*City:</t>
  </si>
  <si>
    <t>*Phone:</t>
  </si>
  <si>
    <t>*State:</t>
  </si>
  <si>
    <t>Fax:</t>
  </si>
  <si>
    <t>*Zip (xxxxx-xxxx):</t>
  </si>
  <si>
    <t>*E-Mail:</t>
  </si>
  <si>
    <t>(Parent Organization is parent company name, if applicable, for alternative fuel provider fleet or state name for state fleet)</t>
  </si>
  <si>
    <t>to</t>
  </si>
  <si>
    <t>Light duty gasoline vehicle</t>
  </si>
  <si>
    <t>Dedicated CNG vehicle</t>
  </si>
  <si>
    <t>Dedicated LNG vehicle</t>
  </si>
  <si>
    <t>Dedicated LPG vehicle</t>
  </si>
  <si>
    <t>Ethanol flexible-fuel vehicle</t>
  </si>
  <si>
    <t>High efficiency gasoline vehicle</t>
  </si>
  <si>
    <t>Plug-in hybrid electric vehicle (gasoline/electric)</t>
  </si>
  <si>
    <t>High efficiency diesel vehicle</t>
  </si>
  <si>
    <t>Calculated values. Do not enter data in cells shaded in this color</t>
  </si>
  <si>
    <t>Enter data in cells with this color shading</t>
  </si>
  <si>
    <t>This idle reduction method includes APUs and other onboard power sources that can heat, cool, or provide electricity to, for example, a truck cab or bucket without engine idling.</t>
  </si>
  <si>
    <t>Strategy: Use Biodiesel Blends</t>
  </si>
  <si>
    <t>Strategy: Reduce Vehicle Miles Traveled</t>
  </si>
  <si>
    <t>GREET WTW analysis downloaded for PREP testing 2012</t>
  </si>
  <si>
    <t>PHEV20</t>
  </si>
  <si>
    <t>Total B100 Fuel Use</t>
  </si>
  <si>
    <t>Idle Reduction see idling worksheet.xls (http://www.transportation.anl.gov/engines/idling.html)</t>
  </si>
  <si>
    <t>Use Alternative Fuel in New or Existing Alternative Fuel Vehicles</t>
  </si>
  <si>
    <t>MPG_Lookup (dropdown list)</t>
  </si>
  <si>
    <t>Alt_MPG_Lookup</t>
  </si>
  <si>
    <t>Strategy: Use alternative fuels in new or existing alternative fuel vehicles</t>
  </si>
  <si>
    <t>General_Fuel_List Table</t>
  </si>
  <si>
    <t>Tbl_Fuel_Conversions</t>
  </si>
  <si>
    <t>Idle_table</t>
  </si>
  <si>
    <t>Trucks - Manufacturer's gross vehicle weight (lbs)</t>
  </si>
  <si>
    <t>Light-duty trucks</t>
  </si>
  <si>
    <t>Transportation Energy Data Book 33rd ed.(TEDB) (Davis, et al 2014) Table 5.5 2002 Vehicle Inventory and Use Survey</t>
  </si>
  <si>
    <t>1) 6000 lbs and less</t>
  </si>
  <si>
    <t>2) 6,001–10,000 lbs</t>
  </si>
  <si>
    <t>light-duty truck average</t>
  </si>
  <si>
    <t>Medium-duty trucks</t>
  </si>
  <si>
    <t>3) 10,000–14,000 lbs</t>
  </si>
  <si>
    <t>4) 14,001–16,000 lbs</t>
  </si>
  <si>
    <t>5) 16,001–19,500 lbs</t>
  </si>
  <si>
    <t>6) 19,501–26,000 lbs</t>
  </si>
  <si>
    <t>medium-duty truck average</t>
  </si>
  <si>
    <t>Heavy-duty trucks</t>
  </si>
  <si>
    <t>7) 26,001–33,000 lbs</t>
  </si>
  <si>
    <t>8) 33001 lbs and over</t>
  </si>
  <si>
    <t>heavy-duty truck average</t>
  </si>
  <si>
    <t>Light-duty trucks 1) 6000 lbs and less</t>
  </si>
  <si>
    <t>Light-duty trucks 2) 6,001–10,000 lbs</t>
  </si>
  <si>
    <t>Medium-duty trucks 3) 10,000–14,000 lbs</t>
  </si>
  <si>
    <t>Medium-duty trucks 4) 14,001–16,000 lbs</t>
  </si>
  <si>
    <t>Medium-duty trucks 5) 16,001–19,500 lbs</t>
  </si>
  <si>
    <t>Medium-duty trucks 6) 19,501–26,000 lbs</t>
  </si>
  <si>
    <t>Heavy-duty trucks 7) 26,001–33,000 lbs</t>
  </si>
  <si>
    <t>Heavy-duty trucks 8) 33001 lbs and over</t>
  </si>
  <si>
    <t>Van</t>
  </si>
  <si>
    <t>Vehicle_Size</t>
  </si>
  <si>
    <t>Typical Vehicle Fuel Economy Lookup</t>
  </si>
  <si>
    <t>TEDB Table 5.5</t>
  </si>
  <si>
    <t>Car</t>
  </si>
  <si>
    <t>Car SUV</t>
  </si>
  <si>
    <t>TEDB Table 4.7</t>
  </si>
  <si>
    <t>see TEDB Table 4.8 for a list of 2013 Model Year Car Sport Utility Vehicles</t>
  </si>
  <si>
    <t>TEDB Table 4.9</t>
  </si>
  <si>
    <t>Truck Sport utility vehicle (SUV)</t>
  </si>
  <si>
    <t>Pickup</t>
  </si>
  <si>
    <t>Default_MPG_Values</t>
  </si>
  <si>
    <t>KEY</t>
  </si>
  <si>
    <t>Error or unchecked required checkbox</t>
  </si>
  <si>
    <t>Information about working with the tables in this workbook</t>
  </si>
  <si>
    <t>Select a value from the dropdown list</t>
  </si>
  <si>
    <t>Default values from idling worksheet.xls (http://www.transportation.anl.gov/engines/idling.html). 7/17/2014</t>
  </si>
  <si>
    <t>Enter the Reporting Model Year</t>
  </si>
  <si>
    <t>Enter you ACV Inventory Total</t>
  </si>
  <si>
    <t>Enter the average fuel use per light-duty vehicle (LDV) in your fleet</t>
  </si>
  <si>
    <r>
      <t>✪</t>
    </r>
    <r>
      <rPr>
        <sz val="14"/>
        <color theme="5" tint="-0.499984740745262"/>
        <rFont val="Calibri"/>
        <family val="2"/>
        <scheme val="minor"/>
      </rPr>
      <t xml:space="preserve"> ACV Inventory</t>
    </r>
  </si>
  <si>
    <r>
      <t>✪</t>
    </r>
    <r>
      <rPr>
        <sz val="14"/>
        <color theme="5" tint="-0.499984740745262"/>
        <rFont val="Calibri"/>
        <family val="2"/>
        <scheme val="minor"/>
      </rPr>
      <t xml:space="preserve"> Avg Fuel Use</t>
    </r>
  </si>
  <si>
    <r>
      <t>✪</t>
    </r>
    <r>
      <rPr>
        <sz val="14"/>
        <color theme="5" tint="-0.499984740745262"/>
        <rFont val="Calibri"/>
        <family val="2"/>
        <scheme val="minor"/>
      </rPr>
      <t xml:space="preserve"> Calculation</t>
    </r>
  </si>
  <si>
    <r>
      <t>✪</t>
    </r>
    <r>
      <rPr>
        <sz val="14"/>
        <color theme="5" tint="-0.499984740745262"/>
        <rFont val="Calibri"/>
        <family val="2"/>
        <scheme val="minor"/>
      </rPr>
      <t xml:space="preserve"> Changing</t>
    </r>
  </si>
  <si>
    <t>GGE/LDV</t>
  </si>
  <si>
    <t>LDVs</t>
  </si>
  <si>
    <t>Method</t>
  </si>
  <si>
    <t>Planned Petroleum Reduction</t>
  </si>
  <si>
    <t>Alternative Fuels</t>
  </si>
  <si>
    <t>Biodiesel Blends</t>
  </si>
  <si>
    <t>Fuel Economy</t>
  </si>
  <si>
    <t>VMT Reduction</t>
  </si>
  <si>
    <t>Truck Stop Electrification</t>
  </si>
  <si>
    <t>Idle Time Reduction</t>
  </si>
  <si>
    <t>Onboard IR</t>
  </si>
  <si>
    <t>PHEVs</t>
  </si>
  <si>
    <t>Vehicles with Improved Fuel Economy</t>
  </si>
  <si>
    <t>Strategy: Replace vehicles to improve fuel efficiency</t>
  </si>
  <si>
    <t>Fuel Economy of New Vehicle (miles/GGE)</t>
  </si>
  <si>
    <t>Petroleum Reduction (GGE)</t>
  </si>
  <si>
    <t>Biodiesel Fuel Use</t>
  </si>
  <si>
    <t>Diesel Vehicle Fuel Economy Lookup</t>
  </si>
  <si>
    <t>Car (diesel)</t>
  </si>
  <si>
    <t>Pickup (diesel)</t>
  </si>
  <si>
    <t>Truck Sport utility vehicle (SUV) (diesel)</t>
  </si>
  <si>
    <t>Van (diesel)</t>
  </si>
  <si>
    <t>Vehicle_Type</t>
  </si>
  <si>
    <t>Number of Vehicles</t>
  </si>
  <si>
    <t>Annual VMT</t>
  </si>
  <si>
    <t>Percent of Fuel Use</t>
  </si>
  <si>
    <t>Fuel Economy (miles/GGE)</t>
  </si>
  <si>
    <t>PHEV All Electric Miles</t>
  </si>
  <si>
    <t>PHEV Gasoline Fuel Economy (miles/GGE)</t>
  </si>
  <si>
    <t>Days of Operation per Year</t>
  </si>
  <si>
    <t>Plug-in Hybrid Electric Vehicles</t>
  </si>
  <si>
    <t>Click the button for each petroleum reduction method below to calculate the planned GGE reduction for your AC Waiver Request. The button for each category will take you to individual worksheets within this Excel file. Click on the "Planning Summary" button to return to this sheet.</t>
  </si>
  <si>
    <t>Petroleum Reduction</t>
  </si>
  <si>
    <t>Use of biodiesel blends in existing vehicles. Select the vehicle type and enter the other information in the table. The petroleum reduction will be calculated automatically.</t>
  </si>
  <si>
    <t>Type of Vehicle</t>
  </si>
  <si>
    <t>Average VMT (miles/year/vehicle)</t>
  </si>
  <si>
    <t>Fuel Economy of Old Vehicle (miles/GGE)</t>
  </si>
  <si>
    <t>Vehicle Category (select from list)</t>
  </si>
  <si>
    <t>Number of Alternative Fuel Vehicles</t>
  </si>
  <si>
    <t>Average VMT of Vehicles (miles/year/ vehicle)</t>
  </si>
  <si>
    <t>Percent of total fuel use that is alternative fuel</t>
  </si>
  <si>
    <t>Fuel Economy of AFV (miles/GGE)</t>
  </si>
  <si>
    <t>Fuel (select from list)</t>
  </si>
  <si>
    <t>Vehicle Type (select from list)</t>
  </si>
  <si>
    <t>Fuel Used in Vehicle</t>
  </si>
  <si>
    <t>Average Previous VMT of Vehicles (miles/year/vehicle)</t>
  </si>
  <si>
    <t>Average New VMT of Vehicles (miles/year/vehicle)</t>
  </si>
  <si>
    <t>Fuel Economy of Vehicle (miles/GGE)</t>
  </si>
  <si>
    <t>Truck Stop Number of Bays</t>
  </si>
  <si>
    <t>Hours/year Each Bay is used</t>
  </si>
  <si>
    <t>Truck Fuel Type</t>
  </si>
  <si>
    <t>Idle Fuel Use (gal/h/vehicle)</t>
  </si>
  <si>
    <t>Strategy: Reduce idling using truck stop electrification</t>
  </si>
  <si>
    <t>Select Closest Vehicle Type</t>
  </si>
  <si>
    <t>Select with or without Load</t>
  </si>
  <si>
    <t>Idling Fuel Use (gal/h)</t>
  </si>
  <si>
    <t>Work Days per Year</t>
  </si>
  <si>
    <t>Strategy: Reduce idling using onboard idle reduction</t>
  </si>
  <si>
    <t>Vehicle Description</t>
  </si>
  <si>
    <t>Type of Idle Reduction Equipment</t>
  </si>
  <si>
    <t>Number of vehicles</t>
  </si>
  <si>
    <t>Average Reduction in Idling Time of Vehicles (hours/day)</t>
  </si>
  <si>
    <r>
      <t xml:space="preserve">Default values from idling worksheet.xls (http://www.transportation.anl.gov/engines/idling.html). 7/17/2014. "Idling" includes vehicles moving in "creep mode" (e.g., in heavy traffic or waiting in line), which uses more fuel for a loaded vehicle. See </t>
    </r>
    <r>
      <rPr>
        <i/>
        <sz val="12"/>
        <rFont val="Calibri"/>
        <family val="2"/>
        <scheme val="minor"/>
      </rPr>
      <t>Idling Reduction for Medium-Duty Fleets (https://anl.app.box.com/s/33qyoebhcwko0ze8c8aj256dofmv312o)</t>
    </r>
    <r>
      <rPr>
        <sz val="12"/>
        <rFont val="Calibri"/>
        <family val="2"/>
        <scheme val="minor"/>
      </rPr>
      <t xml:space="preserve"> for more information about idling</t>
    </r>
    <r>
      <rPr>
        <i/>
        <sz val="12"/>
        <rFont val="Calibri"/>
        <family val="2"/>
        <scheme val="minor"/>
      </rPr>
      <t>.</t>
    </r>
  </si>
  <si>
    <t xml:space="preserve">Use this worksheet if your fleet is replacing conventional vehicles with more fuel efficient conventional vehicle models. </t>
  </si>
  <si>
    <t xml:space="preserve">To get started, select a vehicle type from the dropdown list then fill in the remaining green shaded cells. To add a vehicle beyond the end of the table, select the last cell in the Petroleum Reduction column and hit the tab key. A new row will be added automatically. </t>
  </si>
  <si>
    <t>To get started, select a vehicle type from the dropdown list then fill in the remaining green shaded cells selecting from the available lists or default values in the light green shaded cells. To add a vehicle beyond the end of the table, select the last cell in the Petroleum Reduction column and hit the tab key. A new row will be added automatically.</t>
  </si>
  <si>
    <t>To get started, select a fuel type from the dropdown list then fill in the remaining green shaded cells selecting from the available lists or default values in the light green shaded cells. To add a vehicle beyond the end of the table, select the last cell in the Petroleum Reduction column and hit the tab key. A new row will be added automatically.</t>
  </si>
  <si>
    <t>To get started, type in the number of bays then fill in the remaining green shaded cells selecting from the available lists or default values in the light green shaded cells. To add a vehicle beyond the end of the table, select the last cell in the Petroleum Reduction column and hit the tab key. A new row will be added automatically.</t>
  </si>
  <si>
    <t>To get started, type in a vehicle description then fill in the remaining green shaded cells selecting from the available lists or default values in the light green shaded cells. To add a vehicle beyond the end of the table, select the last cell in the Petroleum Reduction column and hit the tab key. A new row will be added automatically.</t>
  </si>
  <si>
    <t>Strategy: Reduce idling for vehicles such as delivery vans. NOTE: this is not the same as employing idle reduction technology (see “Onboard IR” tab/worksheet)</t>
  </si>
  <si>
    <t>*Fleet Type (select from list):</t>
  </si>
  <si>
    <t>Blend_factors</t>
  </si>
  <si>
    <t>B2</t>
  </si>
  <si>
    <t>B5</t>
  </si>
  <si>
    <t>B10</t>
  </si>
  <si>
    <t>B40</t>
  </si>
  <si>
    <t>B50</t>
  </si>
  <si>
    <t>GGE/gallon</t>
  </si>
  <si>
    <t>Biodiesel_blendfactors</t>
  </si>
  <si>
    <t>Conv fuel content (fraction)</t>
  </si>
  <si>
    <t>P</t>
  </si>
  <si>
    <t>Use this worksheet if you are using alternative fuel in a vehicle already in your fleet or a new alternative fuel vehicle. Fully electric battery electric vehicles (BEVs) should be entered on this sheet. Plug-in hybrid electric vehicles (PHEVs) should be entered on the PHEVs tab. HEVs, which are not alternative fuel vehicles, should be entered on the Fuel Economy tab.</t>
  </si>
  <si>
    <t>dist</t>
  </si>
  <si>
    <t>Odyne HD PHEV</t>
  </si>
  <si>
    <t>miles/ day</t>
  </si>
  <si>
    <t>Avg Plug-in charge</t>
  </si>
  <si>
    <t>Plug-in charges per day</t>
  </si>
  <si>
    <t>Total Plug-in charge/day</t>
  </si>
  <si>
    <t>Duty cycle</t>
  </si>
  <si>
    <t>hours/day</t>
  </si>
  <si>
    <t>https://www.nrel.gov/transportation/assets/pdfs/67116.pdf</t>
  </si>
  <si>
    <t>engine charging</t>
  </si>
  <si>
    <t>kWh/charge</t>
  </si>
  <si>
    <t>total diesel gal. eq calculated from e- &amp; diesel use</t>
  </si>
  <si>
    <t>Hybrid Bucket Truck</t>
  </si>
  <si>
    <t>Percent of Total Energy from NREL Report</t>
  </si>
  <si>
    <t>Odyne PHEV bucket truck</t>
  </si>
  <si>
    <t>Makes</t>
  </si>
  <si>
    <t>AVS</t>
  </si>
  <si>
    <t>AEROMATE</t>
  </si>
  <si>
    <t>AMTRAM</t>
  </si>
  <si>
    <t>BAKER</t>
  </si>
  <si>
    <t>BLUEBIRD</t>
  </si>
  <si>
    <t>BUICK</t>
  </si>
  <si>
    <t>CARPENTER</t>
  </si>
  <si>
    <t>CHAMPION</t>
  </si>
  <si>
    <t>CHEVROLET</t>
  </si>
  <si>
    <t>CHRYSLER</t>
  </si>
  <si>
    <t>CONSULAIR</t>
  </si>
  <si>
    <t>DODGE</t>
  </si>
  <si>
    <t>EBUS</t>
  </si>
  <si>
    <t>EAGLE</t>
  </si>
  <si>
    <t>EL DORADO</t>
  </si>
  <si>
    <t>FORD</t>
  </si>
  <si>
    <t>FREIGHTLINER</t>
  </si>
  <si>
    <t>GMC</t>
  </si>
  <si>
    <t>GEO</t>
  </si>
  <si>
    <t>GRUMAN</t>
  </si>
  <si>
    <t>HONDA</t>
  </si>
  <si>
    <t>INTERNATIONAL</t>
  </si>
  <si>
    <t>ISUZU</t>
  </si>
  <si>
    <t>JEEP</t>
  </si>
  <si>
    <t>LINCOLN</t>
  </si>
  <si>
    <t>MERCURY</t>
  </si>
  <si>
    <t>NEOPLAN</t>
  </si>
  <si>
    <t>NISSAN</t>
  </si>
  <si>
    <t>OLDSMOBILE</t>
  </si>
  <si>
    <t>PLYMOUTH</t>
  </si>
  <si>
    <t>PONTIAC</t>
  </si>
  <si>
    <t>REGAL</t>
  </si>
  <si>
    <t>RENAISSANCE</t>
  </si>
  <si>
    <t>SATURN</t>
  </si>
  <si>
    <t>SOLECTRIA</t>
  </si>
  <si>
    <t>TMT</t>
  </si>
  <si>
    <t>THOMAS</t>
  </si>
  <si>
    <t>TOYOTA</t>
  </si>
  <si>
    <t>UMC</t>
  </si>
  <si>
    <t>US ELECTRICAR</t>
  </si>
  <si>
    <t>VOLKSWAGEN</t>
  </si>
  <si>
    <t>Total</t>
  </si>
  <si>
    <t>Use this worksheet for PHEVs in your fleet or if your fleet is replacing conventional vehicles with PHEVs. Reminder; gasoline or diesel non-plug in HEVs should be entered on the Fuel Economy tab. Also include in the FE tab plug-in MD/HD vehicles for which the battery and electric motor are capable of propelling the vehicle (e.g., an Odyne vehicle - see example). If the battery and electric motor only provide power to equipment (e.g., to power the bucket as in the Altec JEMS), enter the information for the vehicle on the Onboard Idle Reduction (Onboard IR) tab.</t>
  </si>
  <si>
    <t>Strategy: Plug-in Hybrid Electric vehicles (PHEVs)</t>
  </si>
  <si>
    <t>Vehicle Weight Class</t>
  </si>
  <si>
    <t>APU Fuel Type</t>
  </si>
  <si>
    <t>TBL_OnboardIR</t>
  </si>
  <si>
    <t>Source: http://www.transportation.anl.gov/engines/idling_tools.html idling_worksheet.xls (downloaded 7/17/2014), same table in 2023</t>
  </si>
  <si>
    <t>and Selected Idle Reduction Technologies. Journal of the Air &amp; Waste Management Association, 59 (7),</t>
  </si>
  <si>
    <t>857-864. DOI: 10.3155/1047-3289.59.7.857</t>
  </si>
  <si>
    <t>Frey, H. C. and P.-Y. Kuo (2009). Real-World Energy Use and Emission Rates for Idling Long-Haul Trucks</t>
  </si>
  <si>
    <t>Data Source and Notes (electric APU)</t>
  </si>
  <si>
    <t>Direct-fired heater</t>
  </si>
  <si>
    <t>Direct heat with thermal storage cooling</t>
  </si>
  <si>
    <t>Diesel APU Bucket Truck</t>
  </si>
  <si>
    <t>Base Data</t>
  </si>
  <si>
    <t>Bucket Truck Idle Fuel Use (w/o load)</t>
  </si>
  <si>
    <t>Bucket Truck Idle Fuel Use (w/ load)</t>
  </si>
  <si>
    <t>Diesel APU fuel use</t>
  </si>
  <si>
    <t>GGE/h</t>
  </si>
  <si>
    <t>TBL_OnboardIdle_fuels</t>
  </si>
  <si>
    <t>Battery</t>
  </si>
  <si>
    <t>Conventional Fuel Use (GGE/gal)</t>
  </si>
  <si>
    <t>Drive Mode</t>
  </si>
  <si>
    <t>Engine off PTO (ePTO)</t>
  </si>
  <si>
    <t>Engine on PTO</t>
  </si>
  <si>
    <t>Engine charging</t>
  </si>
  <si>
    <t>Parked Idle</t>
  </si>
  <si>
    <t>Percent of total time from NREL report</t>
  </si>
  <si>
    <t>Total Time (hrs/day)</t>
  </si>
  <si>
    <t>Average Diesel Eq. Fuel Economy</t>
  </si>
  <si>
    <t>Average Engine charge fuel cons.</t>
  </si>
  <si>
    <t>ePTO electrical energy discharged</t>
  </si>
  <si>
    <t>kWh/diesel gal calculated from NREL report BTU/diesel gal</t>
  </si>
  <si>
    <t>KWh/diesel gal</t>
  </si>
  <si>
    <t>GGE/day    8.8 kWh/day/(37.656 kWh/dgal)*DGGE</t>
  </si>
  <si>
    <t>Energy Use GGE/day (calculated from base data for hybrid bucket truck</t>
  </si>
  <si>
    <t>assumed idle fuel use w/o load</t>
  </si>
  <si>
    <t>assumed idle fuel use w load</t>
  </si>
  <si>
    <t>based on 0.8 gal/event engine charging</t>
  </si>
  <si>
    <t>GGE/day   based on 0.8 Dgal/charge event, 6.11 kWh charge/Dgal, 4.80 total charge per event</t>
  </si>
  <si>
    <t>8.8 kWh/day ePTO use</t>
  </si>
  <si>
    <t>23.8 miles at 6.4 mpge, 20.8 mph</t>
  </si>
  <si>
    <t>Net driving DC energy</t>
  </si>
  <si>
    <t>(GGE) 0.39 kWh/mile, conv. To GGE</t>
  </si>
  <si>
    <t>engine charging duration</t>
  </si>
  <si>
    <t>hours/event</t>
  </si>
  <si>
    <t>kWh/event from report</t>
  </si>
  <si>
    <t>kWh/Dgal</t>
  </si>
  <si>
    <t>Non-PHEV diesel fuel use</t>
  </si>
  <si>
    <t>https://www.osti.gov/servlets/purl/1342660</t>
  </si>
  <si>
    <t>GGE/mile</t>
  </si>
  <si>
    <t>miles/GGE</t>
  </si>
  <si>
    <t>see actual fleet data, use the same breakdown of time for each function</t>
  </si>
  <si>
    <t>Energy Use GGE/day (calculated from base data for conv diesel bucket truck w/diesel APU)</t>
  </si>
  <si>
    <t>GGE/h calculated from D gal/h, Bucket Truck Idle Fuel Use (w/o load), see Idle fuel use table</t>
  </si>
  <si>
    <t>GGE/h calculated from D gal/h</t>
  </si>
  <si>
    <t>mpGGE (hybrid bucket truck FE)</t>
  </si>
  <si>
    <t>average energy charge fuel cons. 0.8 Dgal/event converted to GGE</t>
  </si>
  <si>
    <t>Energy Use GGE/day (calculated from base data for conv diesel bucket truck w/o APU)</t>
  </si>
  <si>
    <t>Percentage of energy use based on base data (Hybrid Bucket Truck)</t>
  </si>
  <si>
    <t>Petroleum Reduction (GGE/h)</t>
  </si>
  <si>
    <t>TBL_APU_GGE_Savings</t>
  </si>
  <si>
    <t>hours / year PTO use</t>
  </si>
  <si>
    <t>Actual Fleet Data: Since the unit is fueled from the chassis fuel tank, we can only estimate consumption. I have attached an owner’s manual for one of these Onan generators. The units we install are 6,000-watt models primarily. At full load they are rated to burn 0.80 gallons per hour. Assuming 3 hours of run time per day and a standard 5-day work week, I would estimate approximately 624 gallons per year. This will vary based on actual loads, weather conditions and daily usage. </t>
  </si>
  <si>
    <t xml:space="preserve"> (https://www.epa.gov/sites/default/files/2017-01/documents/emission-rates-extended-idle-aux-power-units.pdf p24 = 0.35 diesel gal/h APU fuel use. i.e., diesel APU fuel use is based on a hotelling application for long-haul trucks </t>
  </si>
  <si>
    <t>Source: http://www.transportation.anl.gov/engines/idling_tools.html idling_worksheet.xls (downloaded 7/17/2014), same table in 2023, average of loaded and unloaded idle fuel use for tractor-semitrailer (0.64, 1.15 resp).  https://doi.org/10.1021/es900186e. calculated values for diesel fuel savings using a diesel APU for AC and appliances for long-haul trucks. Used Fleet A (single driver), all stop durations = 2130 h/yr, average of 241 and 281 galD/yr savings</t>
  </si>
  <si>
    <t>see calcs for Odyne HD Hybrid https://www.nrel.gov/transportation/assets/pdfs/67116.pdf</t>
  </si>
  <si>
    <t>TBL_OnboardIR_hrs</t>
  </si>
  <si>
    <t>Hours</t>
  </si>
  <si>
    <t>Default hrs/year of PTO, assuming 250 days per year in all cases</t>
  </si>
  <si>
    <t>Default</t>
  </si>
  <si>
    <t>Blank</t>
  </si>
  <si>
    <t>hrs PTO/day (fleet data for bucket truck)</t>
  </si>
  <si>
    <t>hrs PTO/day (Odyne data for fleet 72% bucket trucks)</t>
  </si>
  <si>
    <t>Onboard IR Type</t>
  </si>
  <si>
    <t>GGE/h fuel savings use with total hours per year.</t>
  </si>
  <si>
    <t>Alternative Comliance Waiver Request</t>
  </si>
  <si>
    <t>The U.S. Office of Management and Budget (OMB) approved this data collection under control number 1910-5101. You are not required to respond to this collection of information unless it displays a currently valid OMB control number. Reporting takes about five hours per session. For help with reporting, access guidance documents at http://www.eere.energy.gov/vehiclesandfuels/epact/guidance_documents.html. OMB #: 1910-5101 | Expires: 7/31/2025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</si>
</sst>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_(* #,##0_);_(* \(#,##0\);_(* &quot;-&quot;??_);_(@_)"/>
    <numFmt numFmtId="167" formatCode="[&lt;=9999999]###\-####;\(###\)\ ###\-####"/>
    <numFmt numFmtId="168" formatCode="0.0%"/>
  </numFmts>
  <fonts count="4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rgb="FF3F3F3F"/>
      <name val="Calibri"/>
      <family val="2"/>
      <scheme val="minor"/>
    </font>
    <font>
      <u/>
      <sz val="10"/>
      <color theme="10"/>
      <name val="MS Sans Serif"/>
      <family val="2"/>
    </font>
    <font>
      <u/>
      <sz val="12"/>
      <color theme="11"/>
      <name val="Calibri"/>
      <family val="2"/>
      <scheme val="minor"/>
    </font>
    <font>
      <sz val="11"/>
      <color rgb="FF363435"/>
      <name val="Arial Unicode MS"/>
      <family val="2"/>
    </font>
    <font>
      <sz val="6.5"/>
      <color rgb="FF363435"/>
      <name val="Arial Unicode MS"/>
      <family val="2"/>
    </font>
    <font>
      <b/>
      <sz val="11"/>
      <name val="Times New Roman"/>
      <family val="1"/>
    </font>
    <font>
      <b/>
      <sz val="14"/>
      <color theme="1"/>
      <name val="Calibri"/>
      <family val="2"/>
      <scheme val="minor"/>
    </font>
    <font>
      <b/>
      <sz val="12"/>
      <color theme="1"/>
      <name val="Calibri"/>
      <family val="2"/>
      <scheme val="minor"/>
    </font>
    <font>
      <b/>
      <sz val="14"/>
      <name val="Calibri"/>
      <family val="2"/>
      <scheme val="minor"/>
    </font>
    <font>
      <b/>
      <sz val="12"/>
      <name val="Calibri"/>
      <family val="2"/>
      <scheme val="minor"/>
    </font>
    <font>
      <sz val="12"/>
      <name val="Calibri"/>
      <family val="2"/>
      <scheme val="minor"/>
    </font>
    <font>
      <b/>
      <sz val="18"/>
      <name val="Calibri"/>
      <family val="2"/>
      <scheme val="minor"/>
    </font>
    <font>
      <sz val="14"/>
      <color theme="1"/>
      <name val="Calibri"/>
      <family val="2"/>
      <scheme val="minor"/>
    </font>
    <font>
      <sz val="14"/>
      <name val="Calibri"/>
      <family val="2"/>
      <scheme val="minor"/>
    </font>
    <font>
      <sz val="10"/>
      <name val="Calibri"/>
      <family val="2"/>
      <scheme val="minor"/>
    </font>
    <font>
      <sz val="11"/>
      <name val="Calibri"/>
      <family val="2"/>
      <scheme val="minor"/>
    </font>
    <font>
      <sz val="11"/>
      <color rgb="FF3F3F3F"/>
      <name val="Calibri"/>
      <family val="2"/>
      <scheme val="minor"/>
    </font>
    <font>
      <b/>
      <sz val="11"/>
      <name val="Calibri"/>
      <family val="2"/>
      <scheme val="minor"/>
    </font>
    <font>
      <b/>
      <sz val="11"/>
      <color theme="1"/>
      <name val="Calibri"/>
      <family val="2"/>
      <scheme val="minor"/>
    </font>
    <font>
      <b/>
      <sz val="11"/>
      <color rgb="FF363435"/>
      <name val="Arial Unicode MS"/>
      <family val="2"/>
    </font>
    <font>
      <b/>
      <i/>
      <sz val="12"/>
      <color theme="1"/>
      <name val="Calibri"/>
      <family val="2"/>
      <scheme val="minor"/>
    </font>
    <font>
      <b/>
      <sz val="12"/>
      <color rgb="FF008000"/>
      <name val="Calibri"/>
      <family val="2"/>
      <scheme val="minor"/>
    </font>
    <font>
      <sz val="12"/>
      <color rgb="FF008000"/>
      <name val="Calibri"/>
      <family val="2"/>
      <scheme val="minor"/>
    </font>
    <font>
      <b/>
      <sz val="12"/>
      <color rgb="FF363435"/>
      <name val="Calibri"/>
      <family val="2"/>
      <scheme val="minor"/>
    </font>
    <font>
      <sz val="14"/>
      <color theme="5" tint="-0.499984740745262"/>
      <name val="Zapf Dingbats"/>
      <family val="2"/>
    </font>
    <font>
      <sz val="14"/>
      <color theme="5" tint="-0.499984740745262"/>
      <name val="Calibri"/>
      <family val="2"/>
      <scheme val="minor"/>
    </font>
    <font>
      <sz val="12"/>
      <color theme="5" tint="-0.499984740745262"/>
      <name val="Calibri"/>
      <family val="2"/>
      <scheme val="minor"/>
    </font>
    <font>
      <b/>
      <sz val="16"/>
      <name val="Calibri"/>
      <family val="2"/>
      <scheme val="minor"/>
    </font>
    <font>
      <i/>
      <sz val="12"/>
      <name val="Calibri"/>
      <family val="2"/>
      <scheme val="minor"/>
    </font>
    <font>
      <sz val="12"/>
      <color theme="1"/>
      <name val="Calibri (Body)"/>
    </font>
    <font>
      <sz val="12"/>
      <color rgb="FF212121"/>
      <name val="Calibri"/>
      <family val="2"/>
      <scheme val="minor"/>
    </font>
    <font>
      <sz val="8"/>
      <name val="Calibri"/>
      <family val="2"/>
      <scheme val="minor"/>
    </font>
    <font>
      <b/>
      <sz val="14"/>
      <name val="MS Sans Serif"/>
      <family val="2"/>
    </font>
    <font>
      <b/>
      <sz val="10"/>
      <name val="MS Sans Serif"/>
      <family val="2"/>
    </font>
  </fonts>
  <fills count="9">
    <fill>
      <patternFill patternType="none"/>
    </fill>
    <fill>
      <patternFill patternType="gray125"/>
    </fill>
    <fill>
      <patternFill patternType="solid">
        <fgColor rgb="FFF2F2F2"/>
      </patternFill>
    </fill>
    <fill>
      <patternFill patternType="solid">
        <fgColor theme="6" tint="0.59999389629810485"/>
        <bgColor indexed="64"/>
      </patternFill>
    </fill>
    <fill>
      <patternFill patternType="solid">
        <fgColor rgb="FFFFCC6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6" tint="0.79998168889431442"/>
        <bgColor indexed="64"/>
      </patternFill>
    </fill>
  </fills>
  <borders count="67">
    <border>
      <left/>
      <right/>
      <top/>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rgb="FF006D95"/>
      </left>
      <right style="medium">
        <color rgb="FF363435"/>
      </right>
      <top style="medium">
        <color rgb="FF006D95"/>
      </top>
      <bottom style="medium">
        <color rgb="FF006D95"/>
      </bottom>
      <diagonal/>
    </border>
    <border>
      <left/>
      <right style="medium">
        <color rgb="FF363435"/>
      </right>
      <top style="medium">
        <color rgb="FF006D95"/>
      </top>
      <bottom style="medium">
        <color rgb="FF006D95"/>
      </bottom>
      <diagonal/>
    </border>
    <border>
      <left/>
      <right style="medium">
        <color rgb="FF006D95"/>
      </right>
      <top style="medium">
        <color rgb="FF006D95"/>
      </top>
      <bottom style="medium">
        <color rgb="FF006D95"/>
      </bottom>
      <diagonal/>
    </border>
    <border>
      <left style="medium">
        <color rgb="FF006D95"/>
      </left>
      <right style="medium">
        <color rgb="FF363435"/>
      </right>
      <top/>
      <bottom style="medium">
        <color rgb="FF848688"/>
      </bottom>
      <diagonal/>
    </border>
    <border>
      <left/>
      <right style="medium">
        <color rgb="FF363435"/>
      </right>
      <top/>
      <bottom style="medium">
        <color rgb="FF848688"/>
      </bottom>
      <diagonal/>
    </border>
    <border>
      <left/>
      <right style="medium">
        <color rgb="FF006D95"/>
      </right>
      <top/>
      <bottom style="medium">
        <color rgb="FF848688"/>
      </bottom>
      <diagonal/>
    </border>
    <border>
      <left style="medium">
        <color rgb="FF006D95"/>
      </left>
      <right style="medium">
        <color rgb="FF363435"/>
      </right>
      <top/>
      <bottom style="medium">
        <color rgb="FF006D95"/>
      </bottom>
      <diagonal/>
    </border>
    <border>
      <left/>
      <right style="medium">
        <color rgb="FF363435"/>
      </right>
      <top/>
      <bottom style="medium">
        <color rgb="FF006D95"/>
      </bottom>
      <diagonal/>
    </border>
    <border>
      <left/>
      <right style="medium">
        <color rgb="FF006D95"/>
      </right>
      <top/>
      <bottom style="medium">
        <color rgb="FF006D95"/>
      </bottom>
      <diagonal/>
    </border>
    <border>
      <left/>
      <right/>
      <top/>
      <bottom style="medium">
        <color rgb="FF848688"/>
      </bottom>
      <diagonal/>
    </border>
    <border>
      <left/>
      <right/>
      <top/>
      <bottom style="medium">
        <color rgb="FF006D95"/>
      </bottom>
      <diagonal/>
    </border>
    <border>
      <left/>
      <right style="medium">
        <color rgb="FF363435"/>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rgb="FF363435"/>
      </left>
      <right style="medium">
        <color rgb="FF363435"/>
      </right>
      <top/>
      <bottom style="medium">
        <color rgb="FF006D95"/>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top/>
      <bottom style="medium">
        <color auto="1"/>
      </bottom>
      <diagonal/>
    </border>
    <border>
      <left/>
      <right/>
      <top style="thin">
        <color rgb="FF3F3F3F"/>
      </top>
      <bottom style="thin">
        <color rgb="FF3F3F3F"/>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style="medium">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diagonal/>
    </border>
    <border>
      <left style="medium">
        <color rgb="FF3F3F3F"/>
      </left>
      <right/>
      <top style="medium">
        <color rgb="FF3F3F3F"/>
      </top>
      <bottom style="thin">
        <color rgb="FF3F3F3F"/>
      </bottom>
      <diagonal/>
    </border>
    <border>
      <left/>
      <right style="medium">
        <color rgb="FF3F3F3F"/>
      </right>
      <top style="medium">
        <color rgb="FF3F3F3F"/>
      </top>
      <bottom style="thin">
        <color rgb="FF3F3F3F"/>
      </bottom>
      <diagonal/>
    </border>
    <border>
      <left style="medium">
        <color rgb="FF3F3F3F"/>
      </left>
      <right/>
      <top style="thin">
        <color rgb="FF3F3F3F"/>
      </top>
      <bottom style="thin">
        <color rgb="FF3F3F3F"/>
      </bottom>
      <diagonal/>
    </border>
    <border>
      <left/>
      <right style="medium">
        <color rgb="FF3F3F3F"/>
      </right>
      <top style="thin">
        <color rgb="FF3F3F3F"/>
      </top>
      <bottom style="thin">
        <color rgb="FF3F3F3F"/>
      </bottom>
      <diagonal/>
    </border>
    <border>
      <left style="medium">
        <color rgb="FF3F3F3F"/>
      </left>
      <right/>
      <top style="thin">
        <color rgb="FF3F3F3F"/>
      </top>
      <bottom style="medium">
        <color rgb="FF3F3F3F"/>
      </bottom>
      <diagonal/>
    </border>
    <border>
      <left/>
      <right style="medium">
        <color rgb="FF3F3F3F"/>
      </right>
      <top style="thin">
        <color rgb="FF3F3F3F"/>
      </top>
      <bottom style="medium">
        <color rgb="FF3F3F3F"/>
      </bottom>
      <diagonal/>
    </border>
    <border>
      <left/>
      <right/>
      <top style="medium">
        <color rgb="FF3F3F3F"/>
      </top>
      <bottom style="thin">
        <color rgb="FF3F3F3F"/>
      </bottom>
      <diagonal/>
    </border>
    <border>
      <left/>
      <right/>
      <top style="thin">
        <color rgb="FF3F3F3F"/>
      </top>
      <bottom style="medium">
        <color rgb="FF3F3F3F"/>
      </bottom>
      <diagonal/>
    </border>
    <border>
      <left style="medium">
        <color rgb="FF3F3F3F"/>
      </left>
      <right/>
      <top style="medium">
        <color rgb="FF3F3F3F"/>
      </top>
      <bottom/>
      <diagonal/>
    </border>
    <border>
      <left/>
      <right/>
      <top style="medium">
        <color rgb="FF3F3F3F"/>
      </top>
      <bottom/>
      <diagonal/>
    </border>
    <border>
      <left/>
      <right style="medium">
        <color rgb="FF3F3F3F"/>
      </right>
      <top style="medium">
        <color rgb="FF3F3F3F"/>
      </top>
      <bottom/>
      <diagonal/>
    </border>
    <border>
      <left style="medium">
        <color rgb="FF3F3F3F"/>
      </left>
      <right/>
      <top/>
      <bottom/>
      <diagonal/>
    </border>
    <border>
      <left/>
      <right style="medium">
        <color rgb="FF3F3F3F"/>
      </right>
      <top/>
      <bottom/>
      <diagonal/>
    </border>
    <border>
      <left style="medium">
        <color rgb="FF3F3F3F"/>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thin">
        <color auto="1"/>
      </left>
      <right style="medium">
        <color auto="1"/>
      </right>
      <top style="thin">
        <color auto="1"/>
      </top>
      <bottom/>
      <diagonal/>
    </border>
    <border>
      <left/>
      <right/>
      <top style="thin">
        <color auto="1"/>
      </top>
      <bottom style="double">
        <color auto="1"/>
      </bottom>
      <diagonal/>
    </border>
    <border>
      <left/>
      <right/>
      <top style="double">
        <color auto="1"/>
      </top>
      <bottom style="thin">
        <color auto="1"/>
      </bottom>
      <diagonal/>
    </border>
    <border>
      <left/>
      <right/>
      <top style="thin">
        <color auto="1"/>
      </top>
      <bottom style="thin">
        <color auto="1"/>
      </bottom>
      <diagonal/>
    </border>
    <border>
      <left/>
      <right style="thin">
        <color auto="1"/>
      </right>
      <top style="thin">
        <color indexed="64"/>
      </top>
      <bottom style="thin">
        <color auto="1"/>
      </bottom>
      <diagonal/>
    </border>
  </borders>
  <cellStyleXfs count="268">
    <xf numFmtId="0" fontId="0" fillId="0" borderId="0"/>
    <xf numFmtId="0" fontId="7" fillId="2" borderId="1" applyNumberFormat="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43" fontId="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305">
    <xf numFmtId="0" fontId="0" fillId="0" borderId="0" xfId="0"/>
    <xf numFmtId="0" fontId="0" fillId="0" borderId="0" xfId="0" applyAlignment="1">
      <alignment wrapText="1"/>
    </xf>
    <xf numFmtId="0" fontId="10" fillId="0" borderId="10" xfId="0" applyFont="1" applyBorder="1" applyAlignment="1">
      <alignment vertical="center" wrapText="1"/>
    </xf>
    <xf numFmtId="0" fontId="10" fillId="0" borderId="11" xfId="0" applyFont="1" applyBorder="1" applyAlignment="1">
      <alignment vertical="center" wrapText="1"/>
    </xf>
    <xf numFmtId="0" fontId="10" fillId="0" borderId="11" xfId="0" applyFont="1" applyBorder="1" applyAlignment="1">
      <alignment horizontal="center" vertical="center" wrapText="1"/>
    </xf>
    <xf numFmtId="0" fontId="10" fillId="0" borderId="12" xfId="0" applyFont="1" applyBorder="1" applyAlignment="1">
      <alignment vertical="center" wrapText="1"/>
    </xf>
    <xf numFmtId="0" fontId="10" fillId="0" borderId="13" xfId="0" applyFont="1" applyBorder="1" applyAlignment="1">
      <alignment vertical="center" wrapText="1"/>
    </xf>
    <xf numFmtId="0" fontId="10" fillId="0" borderId="14" xfId="0" applyFont="1" applyBorder="1" applyAlignment="1">
      <alignment vertical="center" wrapText="1"/>
    </xf>
    <xf numFmtId="0" fontId="10" fillId="0" borderId="14" xfId="0" applyFont="1" applyBorder="1" applyAlignment="1">
      <alignment horizontal="center" vertical="center" wrapText="1"/>
    </xf>
    <xf numFmtId="0" fontId="10" fillId="0" borderId="15"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8" xfId="0" applyFont="1" applyBorder="1" applyAlignment="1">
      <alignment horizontal="left" vertical="center" wrapText="1" indent="1"/>
    </xf>
    <xf numFmtId="0" fontId="12" fillId="0" borderId="9" xfId="0" applyFont="1" applyBorder="1" applyAlignment="1">
      <alignment vertical="center" wrapText="1"/>
    </xf>
    <xf numFmtId="0" fontId="13" fillId="0" borderId="0" xfId="0" applyFont="1"/>
    <xf numFmtId="0" fontId="13" fillId="0" borderId="0" xfId="0" applyFont="1" applyAlignment="1">
      <alignment wrapText="1"/>
    </xf>
    <xf numFmtId="0" fontId="10" fillId="0" borderId="16" xfId="0" applyFont="1" applyBorder="1" applyAlignment="1">
      <alignment vertical="center" wrapText="1"/>
    </xf>
    <xf numFmtId="0" fontId="12" fillId="0" borderId="14" xfId="0" applyFont="1" applyBorder="1" applyAlignment="1">
      <alignment vertical="center" wrapText="1"/>
    </xf>
    <xf numFmtId="0" fontId="12" fillId="0" borderId="17" xfId="0" applyFont="1" applyBorder="1" applyAlignment="1">
      <alignment vertical="center" wrapText="1"/>
    </xf>
    <xf numFmtId="0" fontId="10" fillId="0" borderId="18" xfId="0" applyFont="1" applyBorder="1" applyAlignment="1">
      <alignment vertical="center" wrapText="1"/>
    </xf>
    <xf numFmtId="0" fontId="10" fillId="0" borderId="0" xfId="0" applyFont="1" applyAlignment="1">
      <alignment vertical="center" wrapText="1"/>
    </xf>
    <xf numFmtId="0" fontId="12" fillId="0" borderId="21" xfId="0" applyFont="1" applyBorder="1" applyAlignment="1">
      <alignment vertical="center" wrapText="1"/>
    </xf>
    <xf numFmtId="9" fontId="0" fillId="0" borderId="0" xfId="15" applyFont="1"/>
    <xf numFmtId="0" fontId="0" fillId="0" borderId="0" xfId="15" applyNumberFormat="1" applyFont="1"/>
    <xf numFmtId="0" fontId="14" fillId="0" borderId="0" xfId="0" applyFont="1"/>
    <xf numFmtId="49" fontId="0" fillId="0" borderId="0" xfId="0" applyNumberFormat="1"/>
    <xf numFmtId="3" fontId="0" fillId="0" borderId="0" xfId="0" applyNumberFormat="1"/>
    <xf numFmtId="166" fontId="0" fillId="0" borderId="0" xfId="0" applyNumberFormat="1"/>
    <xf numFmtId="166" fontId="0" fillId="0" borderId="0" xfId="82" applyNumberFormat="1" applyFont="1"/>
    <xf numFmtId="164" fontId="0" fillId="0" borderId="0" xfId="0" applyNumberFormat="1"/>
    <xf numFmtId="0" fontId="14" fillId="0" borderId="0" xfId="0" applyFont="1" applyAlignment="1">
      <alignment wrapText="1"/>
    </xf>
    <xf numFmtId="2" fontId="0" fillId="0" borderId="0" xfId="0" applyNumberFormat="1"/>
    <xf numFmtId="0" fontId="0" fillId="0" borderId="23" xfId="0" applyBorder="1" applyAlignment="1">
      <alignment horizontal="center" vertical="center" wrapText="1"/>
    </xf>
    <xf numFmtId="49" fontId="0" fillId="0" borderId="0" xfId="0" quotePrefix="1" applyNumberFormat="1"/>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6"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4" xfId="0" applyFont="1" applyBorder="1" applyAlignment="1">
      <alignment horizontal="center" vertical="center" wrapText="1"/>
    </xf>
    <xf numFmtId="0" fontId="15" fillId="0" borderId="0" xfId="0" applyFont="1" applyAlignment="1">
      <alignment horizontal="left" vertical="center"/>
    </xf>
    <xf numFmtId="0" fontId="17" fillId="3" borderId="2" xfId="2" applyFont="1" applyFill="1" applyBorder="1" applyAlignment="1" applyProtection="1">
      <alignment horizontal="center" vertical="center" wrapText="1"/>
    </xf>
    <xf numFmtId="0" fontId="0" fillId="0" borderId="2" xfId="0" applyBorder="1"/>
    <xf numFmtId="0" fontId="14" fillId="0" borderId="2" xfId="0" applyFont="1" applyBorder="1"/>
    <xf numFmtId="0" fontId="14" fillId="0" borderId="19" xfId="0" applyFont="1" applyBorder="1" applyAlignment="1">
      <alignment vertical="top" wrapText="1"/>
    </xf>
    <xf numFmtId="0" fontId="14" fillId="0" borderId="20" xfId="0" applyFont="1" applyBorder="1" applyAlignment="1">
      <alignment vertical="top" wrapText="1"/>
    </xf>
    <xf numFmtId="0" fontId="14" fillId="0" borderId="25" xfId="0" applyFont="1" applyBorder="1" applyAlignment="1">
      <alignment vertical="top" wrapText="1"/>
    </xf>
    <xf numFmtId="0" fontId="0" fillId="3" borderId="2" xfId="0" applyFill="1" applyBorder="1" applyAlignment="1">
      <alignment horizontal="center"/>
    </xf>
    <xf numFmtId="0" fontId="0" fillId="3" borderId="5" xfId="0" applyFill="1" applyBorder="1" applyAlignment="1">
      <alignment horizontal="center"/>
    </xf>
    <xf numFmtId="2" fontId="15" fillId="0" borderId="0" xfId="0" applyNumberFormat="1" applyFont="1" applyAlignment="1">
      <alignment vertical="center"/>
    </xf>
    <xf numFmtId="0" fontId="0" fillId="3" borderId="27" xfId="0" applyFill="1" applyBorder="1"/>
    <xf numFmtId="0" fontId="0" fillId="3" borderId="5" xfId="0" applyFill="1" applyBorder="1"/>
    <xf numFmtId="0" fontId="24"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15" fillId="0" borderId="32" xfId="0" applyFont="1" applyBorder="1" applyAlignment="1">
      <alignment vertical="center"/>
    </xf>
    <xf numFmtId="0" fontId="15" fillId="0" borderId="40" xfId="0" applyFont="1" applyBorder="1" applyAlignment="1">
      <alignment vertical="center"/>
    </xf>
    <xf numFmtId="0" fontId="0" fillId="0" borderId="41" xfId="0" applyBorder="1"/>
    <xf numFmtId="0" fontId="15" fillId="0" borderId="41" xfId="0" applyFont="1" applyBorder="1" applyAlignment="1">
      <alignment vertical="center"/>
    </xf>
    <xf numFmtId="0" fontId="0" fillId="0" borderId="41" xfId="0" applyBorder="1" applyAlignment="1">
      <alignment vertical="center"/>
    </xf>
    <xf numFmtId="0" fontId="0" fillId="0" borderId="28" xfId="0" applyBorder="1" applyAlignment="1">
      <alignment vertical="center"/>
    </xf>
    <xf numFmtId="0" fontId="0" fillId="0" borderId="33" xfId="0" applyBorder="1"/>
    <xf numFmtId="0" fontId="0" fillId="0" borderId="35" xfId="0" applyBorder="1"/>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0" xfId="0" applyFont="1" applyAlignment="1">
      <alignment horizontal="left" vertical="center"/>
    </xf>
    <xf numFmtId="0" fontId="0" fillId="0" borderId="0" xfId="0" applyAlignment="1">
      <alignment horizontal="left" wrapText="1"/>
    </xf>
    <xf numFmtId="0" fontId="17" fillId="0" borderId="0" xfId="0" applyFont="1" applyAlignment="1">
      <alignment vertical="center" wrapText="1"/>
    </xf>
    <xf numFmtId="0" fontId="0" fillId="0" borderId="22" xfId="0" applyBorder="1"/>
    <xf numFmtId="0" fontId="0" fillId="0" borderId="31" xfId="0" applyBorder="1"/>
    <xf numFmtId="0" fontId="10" fillId="0" borderId="0" xfId="0" applyFont="1" applyAlignment="1">
      <alignment horizontal="center" vertical="center" wrapText="1"/>
    </xf>
    <xf numFmtId="0" fontId="26" fillId="0" borderId="0" xfId="0" applyFont="1" applyAlignment="1">
      <alignment vertical="center" wrapText="1"/>
    </xf>
    <xf numFmtId="0" fontId="13" fillId="0" borderId="26" xfId="0" applyFont="1" applyBorder="1"/>
    <xf numFmtId="0" fontId="13" fillId="0" borderId="45" xfId="0" applyFont="1" applyBorder="1"/>
    <xf numFmtId="0" fontId="13" fillId="0" borderId="27" xfId="0" applyFont="1" applyBorder="1"/>
    <xf numFmtId="0" fontId="27" fillId="4" borderId="24" xfId="0" applyFont="1" applyFill="1" applyBorder="1"/>
    <xf numFmtId="0" fontId="0" fillId="4" borderId="0" xfId="0" applyFill="1"/>
    <xf numFmtId="0" fontId="0" fillId="4" borderId="22" xfId="0" applyFill="1" applyBorder="1"/>
    <xf numFmtId="0" fontId="28" fillId="0" borderId="24" xfId="0" applyFont="1" applyBorder="1" applyAlignment="1">
      <alignment wrapText="1"/>
    </xf>
    <xf numFmtId="0" fontId="0" fillId="0" borderId="24" xfId="0" applyBorder="1" applyAlignment="1">
      <alignment horizontal="left" indent="1"/>
    </xf>
    <xf numFmtId="0" fontId="29" fillId="0" borderId="24" xfId="0" applyFont="1" applyBorder="1" applyAlignment="1">
      <alignment horizontal="left"/>
    </xf>
    <xf numFmtId="0" fontId="0" fillId="0" borderId="25" xfId="0" applyBorder="1" applyAlignment="1">
      <alignment horizontal="left" indent="1"/>
    </xf>
    <xf numFmtId="0" fontId="30" fillId="0" borderId="0" xfId="0" applyFont="1" applyAlignment="1">
      <alignment wrapText="1"/>
    </xf>
    <xf numFmtId="0" fontId="17" fillId="0" borderId="0" xfId="0" applyFont="1" applyAlignment="1">
      <alignment horizontal="left" vertical="top" wrapText="1"/>
    </xf>
    <xf numFmtId="0" fontId="0" fillId="3" borderId="57" xfId="0" applyFill="1" applyBorder="1" applyAlignment="1">
      <alignment vertical="center"/>
    </xf>
    <xf numFmtId="166" fontId="0" fillId="6" borderId="57" xfId="0" applyNumberFormat="1" applyFill="1" applyBorder="1" applyAlignment="1">
      <alignment wrapText="1"/>
    </xf>
    <xf numFmtId="0" fontId="0" fillId="5" borderId="57" xfId="0" applyFill="1" applyBorder="1" applyAlignment="1">
      <alignment wrapText="1"/>
    </xf>
    <xf numFmtId="0" fontId="0" fillId="7" borderId="59" xfId="0" applyFill="1" applyBorder="1" applyAlignment="1">
      <alignment wrapText="1"/>
    </xf>
    <xf numFmtId="166" fontId="15" fillId="6" borderId="0" xfId="82" applyNumberFormat="1" applyFont="1" applyFill="1" applyAlignment="1">
      <alignment horizontal="left" vertical="center"/>
    </xf>
    <xf numFmtId="166" fontId="0" fillId="6" borderId="2" xfId="82" applyNumberFormat="1" applyFont="1" applyFill="1" applyBorder="1" applyAlignment="1">
      <alignment horizontal="center"/>
    </xf>
    <xf numFmtId="166" fontId="0" fillId="6" borderId="5" xfId="82" applyNumberFormat="1" applyFont="1" applyFill="1" applyBorder="1" applyAlignment="1">
      <alignment horizontal="center"/>
    </xf>
    <xf numFmtId="166" fontId="2" fillId="6" borderId="5" xfId="82" applyNumberFormat="1" applyFont="1" applyFill="1" applyBorder="1" applyAlignment="1">
      <alignment horizontal="center"/>
    </xf>
    <xf numFmtId="166" fontId="17" fillId="6" borderId="2" xfId="82" applyNumberFormat="1" applyFont="1" applyFill="1" applyBorder="1" applyAlignment="1">
      <alignment horizontal="center" vertical="center" wrapText="1"/>
    </xf>
    <xf numFmtId="166" fontId="15" fillId="6" borderId="2" xfId="82" applyNumberFormat="1" applyFont="1" applyFill="1" applyBorder="1" applyAlignment="1">
      <alignment vertical="center"/>
    </xf>
    <xf numFmtId="166" fontId="15" fillId="6" borderId="0" xfId="82" applyNumberFormat="1" applyFont="1" applyFill="1" applyAlignment="1">
      <alignment vertical="center"/>
    </xf>
    <xf numFmtId="0" fontId="0" fillId="6" borderId="5" xfId="0" applyFill="1" applyBorder="1"/>
    <xf numFmtId="166" fontId="0" fillId="6" borderId="26" xfId="82" applyNumberFormat="1" applyFont="1" applyFill="1" applyBorder="1"/>
    <xf numFmtId="0" fontId="22" fillId="3" borderId="3"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0" fillId="0" borderId="0" xfId="0" applyFont="1" applyAlignment="1">
      <alignment horizontal="left" vertical="center"/>
    </xf>
    <xf numFmtId="0" fontId="0" fillId="3" borderId="2" xfId="0" applyFill="1" applyBorder="1" applyAlignment="1" applyProtection="1">
      <alignment vertical="center"/>
      <protection locked="0"/>
    </xf>
    <xf numFmtId="166" fontId="13" fillId="6" borderId="2" xfId="0" applyNumberFormat="1" applyFont="1" applyFill="1" applyBorder="1" applyAlignment="1" applyProtection="1">
      <alignment wrapText="1"/>
      <protection hidden="1"/>
    </xf>
    <xf numFmtId="0" fontId="0" fillId="0" borderId="0" xfId="0" applyAlignment="1" applyProtection="1">
      <alignment vertical="center"/>
      <protection locked="0"/>
    </xf>
    <xf numFmtId="0" fontId="18" fillId="0" borderId="0" xfId="0" applyFont="1" applyAlignment="1" applyProtection="1">
      <alignment vertical="center"/>
      <protection locked="0"/>
    </xf>
    <xf numFmtId="0" fontId="16" fillId="0" borderId="0" xfId="0" applyFont="1" applyAlignment="1" applyProtection="1">
      <alignment vertical="center"/>
      <protection locked="0"/>
    </xf>
    <xf numFmtId="0" fontId="17" fillId="0" borderId="0" xfId="0" applyFont="1" applyAlignment="1" applyProtection="1">
      <alignment horizontal="left" vertical="center"/>
      <protection locked="0"/>
    </xf>
    <xf numFmtId="0" fontId="0" fillId="0" borderId="0" xfId="0" applyProtection="1">
      <protection locked="0"/>
    </xf>
    <xf numFmtId="0" fontId="15" fillId="0" borderId="0" xfId="0" applyFont="1" applyAlignment="1" applyProtection="1">
      <alignment horizontal="left" vertical="center"/>
      <protection locked="0"/>
    </xf>
    <xf numFmtId="0" fontId="17" fillId="0" borderId="36" xfId="0" applyFont="1" applyBorder="1" applyAlignment="1" applyProtection="1">
      <alignment horizontal="center" vertical="center" wrapText="1"/>
      <protection locked="0"/>
    </xf>
    <xf numFmtId="0" fontId="17" fillId="0" borderId="37"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17" fillId="0" borderId="38"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166" fontId="15" fillId="6" borderId="0" xfId="82" applyNumberFormat="1" applyFont="1" applyFill="1" applyAlignment="1" applyProtection="1">
      <alignment horizontal="left" vertical="center"/>
      <protection hidden="1"/>
    </xf>
    <xf numFmtId="0" fontId="0" fillId="8" borderId="57" xfId="0" applyFill="1" applyBorder="1" applyAlignment="1">
      <alignment vertical="center"/>
    </xf>
    <xf numFmtId="0" fontId="0" fillId="8" borderId="2" xfId="0" applyFill="1" applyBorder="1" applyAlignment="1">
      <alignment horizontal="left" wrapText="1"/>
    </xf>
    <xf numFmtId="0" fontId="0" fillId="8" borderId="5" xfId="0" applyFill="1" applyBorder="1" applyAlignment="1">
      <alignment horizontal="left" wrapText="1"/>
    </xf>
    <xf numFmtId="0" fontId="0" fillId="8" borderId="5" xfId="0" applyFill="1" applyBorder="1" applyAlignment="1">
      <alignment horizontal="left"/>
    </xf>
    <xf numFmtId="0" fontId="0" fillId="8" borderId="2" xfId="0" applyFill="1" applyBorder="1" applyAlignment="1">
      <alignment horizontal="left"/>
    </xf>
    <xf numFmtId="0" fontId="17" fillId="8" borderId="2" xfId="0" applyFont="1" applyFill="1" applyBorder="1" applyAlignment="1">
      <alignment horizontal="left" vertical="center" wrapText="1"/>
    </xf>
    <xf numFmtId="0" fontId="17" fillId="8" borderId="2" xfId="2" applyFont="1" applyFill="1" applyBorder="1" applyAlignment="1" applyProtection="1">
      <alignment horizontal="left" vertical="center" wrapText="1"/>
    </xf>
    <xf numFmtId="9" fontId="17" fillId="8" borderId="2" xfId="15" applyFont="1" applyFill="1" applyBorder="1" applyAlignment="1">
      <alignment horizontal="left" vertical="center" wrapText="1"/>
    </xf>
    <xf numFmtId="9" fontId="0" fillId="8" borderId="2" xfId="15" applyFont="1" applyFill="1" applyBorder="1" applyAlignment="1">
      <alignment horizontal="left"/>
    </xf>
    <xf numFmtId="9" fontId="4" fillId="8" borderId="5" xfId="15" applyFont="1" applyFill="1" applyBorder="1" applyAlignment="1">
      <alignment horizontal="left"/>
    </xf>
    <xf numFmtId="9" fontId="0" fillId="8" borderId="5" xfId="15" applyFont="1" applyFill="1" applyBorder="1" applyAlignment="1">
      <alignment horizontal="left"/>
    </xf>
    <xf numFmtId="9" fontId="3" fillId="8" borderId="5" xfId="15" applyFont="1" applyFill="1" applyBorder="1" applyAlignment="1">
      <alignment horizontal="left"/>
    </xf>
    <xf numFmtId="9" fontId="2" fillId="8" borderId="5" xfId="15" applyFont="1" applyFill="1" applyBorder="1" applyAlignment="1">
      <alignment horizontal="left"/>
    </xf>
    <xf numFmtId="0" fontId="0" fillId="3" borderId="2" xfId="0" applyFill="1" applyBorder="1"/>
    <xf numFmtId="166" fontId="0" fillId="3" borderId="2" xfId="82" applyNumberFormat="1" applyFont="1" applyFill="1" applyBorder="1"/>
    <xf numFmtId="166" fontId="0" fillId="3" borderId="5" xfId="82" applyNumberFormat="1" applyFont="1" applyFill="1" applyBorder="1"/>
    <xf numFmtId="0" fontId="17" fillId="3" borderId="2" xfId="0" applyFont="1" applyFill="1" applyBorder="1" applyAlignment="1">
      <alignment horizontal="center" vertical="center" wrapText="1"/>
    </xf>
    <xf numFmtId="166" fontId="17" fillId="3" borderId="2" xfId="82" applyNumberFormat="1" applyFont="1" applyFill="1" applyBorder="1" applyAlignment="1">
      <alignment horizontal="center" vertical="center" wrapText="1"/>
    </xf>
    <xf numFmtId="0" fontId="17" fillId="8" borderId="2" xfId="0" applyFont="1" applyFill="1" applyBorder="1" applyAlignment="1">
      <alignment horizontal="center" vertical="center" wrapText="1"/>
    </xf>
    <xf numFmtId="0" fontId="0" fillId="8" borderId="2" xfId="0" applyFill="1" applyBorder="1"/>
    <xf numFmtId="0" fontId="0" fillId="8" borderId="5" xfId="0" applyFill="1" applyBorder="1"/>
    <xf numFmtId="0" fontId="22" fillId="8" borderId="3" xfId="0" applyFont="1" applyFill="1" applyBorder="1" applyAlignment="1">
      <alignment horizontal="left" vertical="center" wrapText="1"/>
    </xf>
    <xf numFmtId="0" fontId="22" fillId="8" borderId="3" xfId="0" applyFont="1" applyFill="1" applyBorder="1" applyAlignment="1">
      <alignment horizontal="center" vertical="center" wrapText="1"/>
    </xf>
    <xf numFmtId="0" fontId="22" fillId="8" borderId="2" xfId="0" applyFont="1" applyFill="1" applyBorder="1" applyAlignment="1">
      <alignment horizontal="left" vertical="center" wrapText="1"/>
    </xf>
    <xf numFmtId="0" fontId="22" fillId="8" borderId="2" xfId="0" applyFont="1" applyFill="1" applyBorder="1" applyAlignment="1">
      <alignment horizontal="center" vertical="center" wrapText="1"/>
    </xf>
    <xf numFmtId="164" fontId="22" fillId="6" borderId="4" xfId="0" applyNumberFormat="1" applyFont="1" applyFill="1" applyBorder="1" applyAlignment="1">
      <alignment horizontal="center" vertical="center" wrapText="1"/>
    </xf>
    <xf numFmtId="164" fontId="22" fillId="6" borderId="6" xfId="0" applyNumberFormat="1" applyFont="1" applyFill="1" applyBorder="1" applyAlignment="1">
      <alignment horizontal="center" vertical="center" wrapText="1"/>
    </xf>
    <xf numFmtId="0" fontId="22" fillId="8" borderId="5" xfId="0" applyFont="1" applyFill="1" applyBorder="1" applyAlignment="1">
      <alignment horizontal="left" vertical="center" wrapText="1"/>
    </xf>
    <xf numFmtId="0" fontId="22" fillId="3" borderId="5" xfId="0" applyFont="1" applyFill="1" applyBorder="1" applyAlignment="1">
      <alignment horizontal="center" vertical="center" wrapText="1"/>
    </xf>
    <xf numFmtId="0" fontId="22" fillId="8" borderId="5" xfId="0" applyFont="1" applyFill="1" applyBorder="1" applyAlignment="1">
      <alignment horizontal="center" vertical="center" wrapText="1"/>
    </xf>
    <xf numFmtId="0" fontId="22" fillId="6" borderId="5" xfId="0" applyFont="1" applyFill="1" applyBorder="1" applyAlignment="1">
      <alignment horizontal="center" vertical="center" wrapText="1"/>
    </xf>
    <xf numFmtId="164" fontId="22" fillId="6" borderId="62" xfId="0" applyNumberFormat="1" applyFont="1" applyFill="1" applyBorder="1" applyAlignment="1">
      <alignment horizontal="center" vertical="center" wrapText="1"/>
    </xf>
    <xf numFmtId="0" fontId="0" fillId="8" borderId="5" xfId="0" applyFill="1" applyBorder="1" applyAlignment="1">
      <alignment wrapText="1"/>
    </xf>
    <xf numFmtId="0" fontId="17" fillId="3" borderId="2" xfId="0" applyFont="1" applyFill="1" applyBorder="1" applyAlignment="1" applyProtection="1">
      <alignment vertical="center" wrapText="1"/>
      <protection locked="0"/>
    </xf>
    <xf numFmtId="166" fontId="0" fillId="3" borderId="2" xfId="82" applyNumberFormat="1" applyFont="1" applyFill="1" applyBorder="1" applyAlignment="1" applyProtection="1">
      <alignment vertical="center"/>
      <protection locked="0"/>
    </xf>
    <xf numFmtId="0" fontId="0" fillId="8" borderId="2" xfId="0" applyFill="1" applyBorder="1" applyAlignment="1" applyProtection="1">
      <alignment vertical="center"/>
      <protection locked="0"/>
    </xf>
    <xf numFmtId="37" fontId="17" fillId="6" borderId="2" xfId="82" applyNumberFormat="1" applyFont="1" applyFill="1" applyBorder="1" applyAlignment="1" applyProtection="1">
      <alignment vertical="center" wrapText="1"/>
      <protection hidden="1"/>
    </xf>
    <xf numFmtId="0" fontId="0" fillId="3" borderId="5" xfId="0" applyFill="1" applyBorder="1" applyAlignment="1" applyProtection="1">
      <alignment vertical="center"/>
      <protection locked="0"/>
    </xf>
    <xf numFmtId="166" fontId="4" fillId="3" borderId="5" xfId="82" applyNumberFormat="1" applyFont="1" applyFill="1" applyBorder="1" applyAlignment="1" applyProtection="1">
      <alignment vertical="center"/>
      <protection locked="0"/>
    </xf>
    <xf numFmtId="0" fontId="0" fillId="8" borderId="5" xfId="0" applyFill="1" applyBorder="1" applyAlignment="1" applyProtection="1">
      <alignment vertical="center"/>
      <protection locked="0"/>
    </xf>
    <xf numFmtId="37" fontId="4" fillId="6" borderId="5" xfId="82" applyNumberFormat="1" applyFont="1" applyFill="1" applyBorder="1" applyAlignment="1" applyProtection="1">
      <alignment vertical="center"/>
      <protection hidden="1"/>
    </xf>
    <xf numFmtId="0" fontId="17" fillId="3" borderId="5" xfId="0" applyFont="1" applyFill="1" applyBorder="1" applyAlignment="1" applyProtection="1">
      <alignment vertical="center" wrapText="1"/>
      <protection locked="0"/>
    </xf>
    <xf numFmtId="166" fontId="0" fillId="3" borderId="5" xfId="82" applyNumberFormat="1" applyFont="1" applyFill="1" applyBorder="1" applyAlignment="1" applyProtection="1">
      <alignment vertical="center"/>
      <protection locked="0"/>
    </xf>
    <xf numFmtId="37" fontId="0" fillId="6" borderId="5" xfId="82" applyNumberFormat="1" applyFont="1" applyFill="1" applyBorder="1" applyAlignment="1" applyProtection="1">
      <alignment vertical="center"/>
      <protection hidden="1"/>
    </xf>
    <xf numFmtId="166" fontId="23" fillId="3" borderId="2" xfId="82" applyNumberFormat="1" applyFont="1" applyFill="1" applyBorder="1" applyAlignment="1" applyProtection="1">
      <alignment horizontal="left" vertical="center"/>
      <protection locked="0"/>
    </xf>
    <xf numFmtId="0" fontId="0" fillId="0" borderId="0" xfId="0" applyAlignment="1">
      <alignment horizontal="left" vertical="center" wrapText="1"/>
    </xf>
    <xf numFmtId="166" fontId="15" fillId="6" borderId="0" xfId="82" quotePrefix="1" applyNumberFormat="1" applyFont="1" applyFill="1" applyAlignment="1">
      <alignment vertical="center"/>
    </xf>
    <xf numFmtId="0" fontId="15" fillId="0" borderId="0" xfId="0" applyFont="1" applyAlignment="1" applyProtection="1">
      <alignment vertical="center"/>
      <protection locked="0"/>
    </xf>
    <xf numFmtId="165" fontId="17" fillId="3" borderId="2" xfId="0" applyNumberFormat="1" applyFont="1" applyFill="1" applyBorder="1" applyAlignment="1" applyProtection="1">
      <alignment vertical="center" wrapText="1"/>
      <protection hidden="1"/>
    </xf>
    <xf numFmtId="165" fontId="0" fillId="3" borderId="2" xfId="0" applyNumberFormat="1" applyFill="1" applyBorder="1" applyAlignment="1" applyProtection="1">
      <alignment vertical="center"/>
      <protection hidden="1"/>
    </xf>
    <xf numFmtId="165" fontId="0" fillId="3" borderId="5" xfId="0" applyNumberFormat="1" applyFill="1" applyBorder="1" applyAlignment="1" applyProtection="1">
      <alignment vertical="center"/>
      <protection hidden="1"/>
    </xf>
    <xf numFmtId="0" fontId="22" fillId="8" borderId="2" xfId="0" applyFont="1" applyFill="1" applyBorder="1" applyAlignment="1">
      <alignment horizontal="left" vertical="center"/>
    </xf>
    <xf numFmtId="9" fontId="23" fillId="3" borderId="2" xfId="15" applyFont="1" applyFill="1" applyBorder="1" applyAlignment="1" applyProtection="1">
      <alignment horizontal="left" vertical="center"/>
      <protection locked="0"/>
    </xf>
    <xf numFmtId="166" fontId="22" fillId="3" borderId="2" xfId="82" applyNumberFormat="1" applyFont="1" applyFill="1" applyBorder="1" applyAlignment="1">
      <alignment horizontal="left" vertical="center" wrapText="1"/>
    </xf>
    <xf numFmtId="166" fontId="0" fillId="6" borderId="6" xfId="82" applyNumberFormat="1" applyFont="1" applyFill="1" applyBorder="1" applyAlignment="1">
      <alignment horizontal="left" vertical="center"/>
    </xf>
    <xf numFmtId="0" fontId="34" fillId="0" borderId="40" xfId="0" applyFont="1" applyBorder="1" applyAlignment="1">
      <alignment vertical="center"/>
    </xf>
    <xf numFmtId="0" fontId="0" fillId="0" borderId="28" xfId="0" applyBorder="1" applyAlignment="1">
      <alignment wrapText="1"/>
    </xf>
    <xf numFmtId="3" fontId="17" fillId="3" borderId="2" xfId="0" applyNumberFormat="1" applyFont="1" applyFill="1" applyBorder="1" applyAlignment="1" applyProtection="1">
      <alignment vertical="center" wrapText="1"/>
      <protection hidden="1"/>
    </xf>
    <xf numFmtId="3" fontId="0" fillId="3" borderId="5" xfId="0" applyNumberFormat="1" applyFill="1" applyBorder="1" applyAlignment="1" applyProtection="1">
      <alignment vertical="center"/>
      <protection hidden="1"/>
    </xf>
    <xf numFmtId="0" fontId="0" fillId="0" borderId="0" xfId="0" applyAlignment="1">
      <alignment horizontal="left" vertical="top" wrapText="1"/>
    </xf>
    <xf numFmtId="0" fontId="0" fillId="0" borderId="0" xfId="0" applyAlignment="1" applyProtection="1">
      <alignment vertical="center" wrapText="1"/>
      <protection locked="0"/>
    </xf>
    <xf numFmtId="164" fontId="17" fillId="3" borderId="2" xfId="2" applyNumberFormat="1" applyFont="1" applyFill="1" applyBorder="1" applyAlignment="1" applyProtection="1">
      <alignment horizontal="center" vertical="center" wrapText="1"/>
    </xf>
    <xf numFmtId="164" fontId="0" fillId="3" borderId="2" xfId="0" applyNumberFormat="1" applyFill="1" applyBorder="1" applyAlignment="1">
      <alignment horizontal="center"/>
    </xf>
    <xf numFmtId="164" fontId="0" fillId="3" borderId="5" xfId="0" applyNumberFormat="1" applyFill="1" applyBorder="1" applyAlignment="1">
      <alignment horizontal="center"/>
    </xf>
    <xf numFmtId="0" fontId="0" fillId="0" borderId="37" xfId="0" applyBorder="1" applyAlignment="1" applyProtection="1">
      <alignment horizontal="center" vertical="center" wrapText="1"/>
      <protection locked="0"/>
    </xf>
    <xf numFmtId="164" fontId="17" fillId="6" borderId="2" xfId="0" applyNumberFormat="1" applyFont="1" applyFill="1" applyBorder="1" applyAlignment="1">
      <alignment horizontal="center" vertical="center" wrapText="1"/>
    </xf>
    <xf numFmtId="0" fontId="0" fillId="8" borderId="5" xfId="0" applyFill="1" applyBorder="1" applyAlignment="1" applyProtection="1">
      <alignment vertical="center" wrapText="1"/>
      <protection locked="0"/>
    </xf>
    <xf numFmtId="166" fontId="0" fillId="3" borderId="5" xfId="82" applyNumberFormat="1" applyFont="1" applyFill="1" applyBorder="1" applyAlignment="1" applyProtection="1">
      <alignment vertical="center" wrapText="1"/>
      <protection locked="0"/>
    </xf>
    <xf numFmtId="0" fontId="0" fillId="3" borderId="5" xfId="0" applyFill="1" applyBorder="1" applyAlignment="1" applyProtection="1">
      <alignment vertical="center" wrapText="1"/>
      <protection locked="0"/>
    </xf>
    <xf numFmtId="165" fontId="0" fillId="3" borderId="5" xfId="0" applyNumberFormat="1" applyFill="1" applyBorder="1" applyAlignment="1" applyProtection="1">
      <alignment vertical="center" wrapText="1"/>
      <protection hidden="1"/>
    </xf>
    <xf numFmtId="3" fontId="17" fillId="3" borderId="5" xfId="0" applyNumberFormat="1" applyFont="1" applyFill="1" applyBorder="1" applyAlignment="1" applyProtection="1">
      <alignment vertical="center" wrapText="1"/>
      <protection hidden="1"/>
    </xf>
    <xf numFmtId="37" fontId="0" fillId="6" borderId="5" xfId="82" applyNumberFormat="1" applyFont="1" applyFill="1" applyBorder="1" applyAlignment="1" applyProtection="1">
      <alignment vertical="center" wrapText="1"/>
      <protection hidden="1"/>
    </xf>
    <xf numFmtId="0" fontId="17" fillId="3" borderId="27" xfId="0" applyFont="1" applyFill="1" applyBorder="1" applyAlignment="1">
      <alignment horizontal="left" vertical="top" wrapText="1"/>
    </xf>
    <xf numFmtId="0" fontId="17" fillId="8" borderId="5" xfId="0" applyFont="1" applyFill="1" applyBorder="1" applyAlignment="1">
      <alignment horizontal="left" vertical="top" wrapText="1"/>
    </xf>
    <xf numFmtId="0" fontId="17" fillId="6" borderId="5" xfId="0" applyFont="1" applyFill="1" applyBorder="1" applyAlignment="1">
      <alignment horizontal="left" vertical="top" wrapText="1"/>
    </xf>
    <xf numFmtId="166" fontId="1" fillId="6" borderId="26" xfId="82" applyNumberFormat="1" applyFont="1" applyFill="1" applyBorder="1" applyAlignment="1">
      <alignment wrapText="1"/>
    </xf>
    <xf numFmtId="9" fontId="23" fillId="8" borderId="2" xfId="15" applyFont="1" applyFill="1" applyBorder="1" applyAlignment="1" applyProtection="1">
      <alignment horizontal="center" vertical="center"/>
      <protection locked="0"/>
    </xf>
    <xf numFmtId="166" fontId="0" fillId="0" borderId="0" xfId="82" applyNumberFormat="1" applyFont="1" applyAlignment="1">
      <alignment wrapText="1"/>
    </xf>
    <xf numFmtId="43" fontId="0" fillId="0" borderId="0" xfId="82" applyFont="1"/>
    <xf numFmtId="0" fontId="8" fillId="0" borderId="0" xfId="2" applyAlignment="1" applyProtection="1"/>
    <xf numFmtId="168" fontId="0" fillId="0" borderId="0" xfId="15" applyNumberFormat="1" applyFont="1"/>
    <xf numFmtId="164" fontId="0" fillId="0" borderId="0" xfId="0" applyNumberFormat="1" applyAlignment="1">
      <alignment wrapText="1"/>
    </xf>
    <xf numFmtId="0" fontId="36" fillId="0" borderId="0" xfId="0" applyFont="1"/>
    <xf numFmtId="0" fontId="14" fillId="0" borderId="20" xfId="0" applyFont="1" applyBorder="1" applyAlignment="1">
      <alignment wrapText="1"/>
    </xf>
    <xf numFmtId="0" fontId="14" fillId="0" borderId="19" xfId="0" applyFont="1" applyBorder="1" applyAlignment="1">
      <alignment wrapText="1"/>
    </xf>
    <xf numFmtId="0" fontId="0" fillId="0" borderId="66" xfId="0" applyBorder="1" applyAlignment="1">
      <alignment wrapText="1"/>
    </xf>
    <xf numFmtId="0" fontId="0" fillId="0" borderId="27" xfId="0" applyBorder="1" applyAlignment="1">
      <alignment wrapText="1"/>
    </xf>
    <xf numFmtId="43" fontId="0" fillId="0" borderId="0" xfId="0" applyNumberFormat="1"/>
    <xf numFmtId="0" fontId="0" fillId="0" borderId="0" xfId="0" quotePrefix="1"/>
    <xf numFmtId="0" fontId="0" fillId="3" borderId="27" xfId="0" applyFill="1" applyBorder="1" applyAlignment="1">
      <alignment wrapText="1"/>
    </xf>
    <xf numFmtId="0" fontId="37" fillId="0" borderId="0" xfId="0" applyFont="1"/>
    <xf numFmtId="43" fontId="0" fillId="0" borderId="0" xfId="82" applyFont="1" applyFill="1"/>
    <xf numFmtId="0" fontId="0" fillId="0" borderId="43" xfId="0" applyBorder="1" applyAlignment="1">
      <alignment wrapText="1"/>
    </xf>
    <xf numFmtId="0" fontId="0" fillId="0" borderId="29" xfId="0" applyBorder="1" applyAlignment="1">
      <alignment wrapText="1"/>
    </xf>
    <xf numFmtId="166" fontId="0" fillId="8" borderId="5" xfId="82" applyNumberFormat="1" applyFont="1" applyFill="1" applyBorder="1"/>
    <xf numFmtId="166" fontId="0" fillId="8" borderId="5" xfId="82" applyNumberFormat="1" applyFont="1" applyFill="1" applyBorder="1" applyAlignment="1">
      <alignment wrapText="1"/>
    </xf>
    <xf numFmtId="0" fontId="0" fillId="3" borderId="5" xfId="0" applyFill="1" applyBorder="1" applyAlignment="1">
      <alignment wrapText="1"/>
    </xf>
    <xf numFmtId="0" fontId="15" fillId="0" borderId="34" xfId="0" applyFont="1" applyBorder="1" applyAlignment="1">
      <alignment vertical="center"/>
    </xf>
    <xf numFmtId="0" fontId="0" fillId="0" borderId="32" xfId="0" applyBorder="1" applyAlignment="1">
      <alignment wrapText="1"/>
    </xf>
    <xf numFmtId="0" fontId="0" fillId="0" borderId="33" xfId="0" applyBorder="1" applyAlignment="1">
      <alignment wrapText="1"/>
    </xf>
    <xf numFmtId="0" fontId="0" fillId="0" borderId="35" xfId="0" applyBorder="1" applyAlignment="1">
      <alignment wrapText="1"/>
    </xf>
    <xf numFmtId="0" fontId="0" fillId="0" borderId="34" xfId="0" applyBorder="1" applyAlignment="1">
      <alignment wrapText="1"/>
    </xf>
    <xf numFmtId="0" fontId="0" fillId="0" borderId="42" xfId="0" applyBorder="1" applyAlignment="1">
      <alignment wrapText="1"/>
    </xf>
    <xf numFmtId="0" fontId="21" fillId="0" borderId="0" xfId="0" applyFont="1" applyAlignment="1">
      <alignment vertical="center"/>
    </xf>
    <xf numFmtId="0" fontId="0" fillId="0" borderId="0" xfId="0" applyAlignment="1">
      <alignment horizontal="right" vertical="center"/>
    </xf>
    <xf numFmtId="14" fontId="17" fillId="6" borderId="0" xfId="0" applyNumberFormat="1" applyFont="1" applyFill="1" applyAlignment="1" applyProtection="1">
      <alignment vertical="center"/>
      <protection hidden="1"/>
    </xf>
    <xf numFmtId="0" fontId="0" fillId="6" borderId="0" xfId="0" applyFill="1" applyAlignment="1" applyProtection="1">
      <alignment vertical="center"/>
      <protection hidden="1"/>
    </xf>
    <xf numFmtId="14" fontId="0" fillId="6" borderId="0" xfId="0" applyNumberFormat="1" applyFill="1" applyAlignment="1" applyProtection="1">
      <alignment vertical="center"/>
      <protection hidden="1"/>
    </xf>
    <xf numFmtId="166" fontId="0" fillId="0" borderId="0" xfId="0" applyNumberFormat="1" applyAlignment="1">
      <alignment wrapText="1"/>
    </xf>
    <xf numFmtId="0" fontId="13" fillId="0" borderId="0" xfId="0" applyFont="1" applyAlignment="1">
      <alignment horizontal="left" vertical="center" wrapText="1"/>
    </xf>
    <xf numFmtId="166" fontId="13" fillId="0" borderId="0" xfId="0" applyNumberFormat="1" applyFont="1" applyAlignment="1">
      <alignment horizontal="left" vertical="center" wrapText="1"/>
    </xf>
    <xf numFmtId="0" fontId="0" fillId="0" borderId="44" xfId="0" applyBorder="1" applyAlignment="1">
      <alignment wrapText="1"/>
    </xf>
    <xf numFmtId="0" fontId="39" fillId="0" borderId="0" xfId="0" applyFont="1" applyAlignment="1">
      <alignment horizontal="center" vertical="center"/>
    </xf>
    <xf numFmtId="0" fontId="39" fillId="0" borderId="42" xfId="0" applyFont="1" applyBorder="1" applyAlignment="1">
      <alignment horizontal="center" vertical="center"/>
    </xf>
    <xf numFmtId="0" fontId="40" fillId="0" borderId="0" xfId="0" applyFont="1" applyAlignment="1">
      <alignment horizontal="left" vertical="center" wrapText="1"/>
    </xf>
    <xf numFmtId="166" fontId="19" fillId="0" borderId="65" xfId="82" applyNumberFormat="1" applyFont="1" applyBorder="1" applyAlignment="1">
      <alignment horizontal="left" vertical="center" wrapText="1"/>
    </xf>
    <xf numFmtId="166" fontId="19" fillId="0" borderId="29" xfId="82" applyNumberFormat="1" applyFont="1" applyBorder="1" applyAlignment="1">
      <alignment horizontal="left" vertical="center" wrapText="1"/>
    </xf>
    <xf numFmtId="0" fontId="13" fillId="0" borderId="63" xfId="0" applyFont="1" applyBorder="1" applyAlignment="1">
      <alignment horizontal="left" vertical="center" wrapText="1"/>
    </xf>
    <xf numFmtId="0" fontId="19" fillId="0" borderId="64" xfId="0" applyFont="1" applyBorder="1" applyAlignment="1">
      <alignment horizontal="left" vertical="center" wrapText="1"/>
    </xf>
    <xf numFmtId="0" fontId="19" fillId="0" borderId="65" xfId="0" applyFont="1" applyBorder="1" applyAlignment="1">
      <alignment horizontal="left" vertical="center" wrapText="1"/>
    </xf>
    <xf numFmtId="0" fontId="19" fillId="0" borderId="29" xfId="0" applyFont="1" applyBorder="1" applyAlignment="1">
      <alignment horizontal="left" vertical="center" wrapText="1"/>
    </xf>
    <xf numFmtId="166" fontId="19" fillId="0" borderId="64" xfId="82" applyNumberFormat="1" applyFont="1" applyBorder="1" applyAlignment="1">
      <alignment horizontal="left" vertical="center" wrapText="1"/>
    </xf>
    <xf numFmtId="0" fontId="17" fillId="0" borderId="0" xfId="0" applyFont="1" applyAlignment="1">
      <alignment vertical="center"/>
    </xf>
    <xf numFmtId="0" fontId="17" fillId="0" borderId="58" xfId="0" applyFont="1" applyBorder="1" applyAlignment="1">
      <alignment vertical="center"/>
    </xf>
    <xf numFmtId="0" fontId="7" fillId="3" borderId="48" xfId="1" applyFill="1" applyBorder="1" applyAlignment="1" applyProtection="1">
      <alignment vertical="center"/>
      <protection locked="0"/>
    </xf>
    <xf numFmtId="0" fontId="7" fillId="3" borderId="49" xfId="1" applyFill="1" applyBorder="1" applyAlignment="1" applyProtection="1">
      <alignment vertical="center"/>
      <protection locked="0"/>
    </xf>
    <xf numFmtId="0" fontId="0" fillId="0" borderId="0" xfId="0" applyAlignment="1">
      <alignment vertical="center"/>
    </xf>
    <xf numFmtId="0" fontId="0" fillId="0" borderId="58" xfId="0" applyBorder="1" applyAlignment="1">
      <alignment vertical="center"/>
    </xf>
    <xf numFmtId="0" fontId="17" fillId="0" borderId="0" xfId="0" applyFont="1" applyAlignment="1">
      <alignment horizontal="left" vertical="center" wrapText="1"/>
    </xf>
    <xf numFmtId="0" fontId="7" fillId="8" borderId="48" xfId="1" applyFill="1" applyBorder="1" applyAlignment="1" applyProtection="1">
      <alignment vertical="center"/>
      <protection locked="0"/>
    </xf>
    <xf numFmtId="0" fontId="7" fillId="8" borderId="49" xfId="1" applyFill="1" applyBorder="1" applyAlignment="1" applyProtection="1">
      <alignment vertical="center"/>
      <protection locked="0"/>
    </xf>
    <xf numFmtId="0" fontId="7" fillId="3" borderId="30" xfId="1" applyFill="1" applyBorder="1" applyAlignment="1" applyProtection="1">
      <alignment vertical="center"/>
      <protection locked="0"/>
    </xf>
    <xf numFmtId="0" fontId="14" fillId="0" borderId="54" xfId="0" applyFont="1" applyBorder="1" applyAlignment="1">
      <alignment horizontal="center" wrapText="1"/>
    </xf>
    <xf numFmtId="0" fontId="14" fillId="0" borderId="55" xfId="0" applyFont="1" applyBorder="1" applyAlignment="1">
      <alignment horizontal="center" wrapText="1"/>
    </xf>
    <xf numFmtId="0" fontId="14" fillId="0" borderId="56" xfId="0" applyFont="1" applyBorder="1" applyAlignment="1">
      <alignment horizontal="center" wrapText="1"/>
    </xf>
    <xf numFmtId="0" fontId="0" fillId="0" borderId="0" xfId="0" applyAlignment="1">
      <alignment vertical="center" wrapText="1"/>
    </xf>
    <xf numFmtId="0" fontId="0" fillId="0" borderId="58" xfId="0" applyBorder="1" applyAlignment="1">
      <alignment vertical="center" wrapText="1"/>
    </xf>
    <xf numFmtId="0" fontId="0" fillId="0" borderId="0" xfId="0" applyAlignment="1">
      <alignment horizontal="left" wrapText="1"/>
    </xf>
    <xf numFmtId="0" fontId="0" fillId="0" borderId="58" xfId="0" applyBorder="1" applyAlignment="1">
      <alignment horizontal="left" wrapText="1"/>
    </xf>
    <xf numFmtId="0" fontId="0" fillId="0" borderId="0" xfId="0" applyAlignment="1">
      <alignment wrapText="1"/>
    </xf>
    <xf numFmtId="0" fontId="0" fillId="0" borderId="58" xfId="0" applyBorder="1" applyAlignment="1">
      <alignment wrapText="1"/>
    </xf>
    <xf numFmtId="0" fontId="33" fillId="0" borderId="60" xfId="0" applyFont="1" applyBorder="1" applyAlignment="1">
      <alignment horizontal="left" wrapText="1"/>
    </xf>
    <xf numFmtId="0" fontId="33" fillId="0" borderId="61" xfId="0" applyFont="1" applyBorder="1" applyAlignment="1">
      <alignment horizontal="left" wrapText="1"/>
    </xf>
    <xf numFmtId="0" fontId="7" fillId="3" borderId="46" xfId="1" applyFill="1" applyBorder="1" applyAlignment="1" applyProtection="1">
      <alignment vertical="center"/>
      <protection locked="0"/>
    </xf>
    <xf numFmtId="0" fontId="7" fillId="3" borderId="47" xfId="1" applyFill="1" applyBorder="1" applyAlignment="1" applyProtection="1">
      <alignment vertical="center"/>
      <protection locked="0"/>
    </xf>
    <xf numFmtId="0" fontId="7" fillId="3" borderId="52" xfId="1" applyFill="1" applyBorder="1" applyAlignment="1" applyProtection="1">
      <alignment vertical="center"/>
      <protection locked="0"/>
    </xf>
    <xf numFmtId="0" fontId="7" fillId="3" borderId="48" xfId="1" applyNumberFormat="1" applyFill="1" applyBorder="1" applyAlignment="1" applyProtection="1">
      <alignment vertical="center"/>
      <protection locked="0"/>
    </xf>
    <xf numFmtId="0" fontId="7" fillId="3" borderId="30" xfId="1" applyNumberFormat="1" applyFill="1" applyBorder="1" applyAlignment="1" applyProtection="1">
      <alignment vertical="center"/>
      <protection locked="0"/>
    </xf>
    <xf numFmtId="0" fontId="7" fillId="3" borderId="49" xfId="1" applyNumberFormat="1" applyFill="1" applyBorder="1" applyAlignment="1" applyProtection="1">
      <alignment vertical="center"/>
      <protection locked="0"/>
    </xf>
    <xf numFmtId="167" fontId="7" fillId="3" borderId="48" xfId="1" applyNumberFormat="1" applyFill="1" applyBorder="1" applyAlignment="1" applyProtection="1">
      <alignment vertical="center"/>
      <protection locked="0"/>
    </xf>
    <xf numFmtId="167" fontId="7" fillId="3" borderId="30" xfId="1" applyNumberFormat="1" applyFill="1" applyBorder="1" applyAlignment="1" applyProtection="1">
      <alignment vertical="center"/>
      <protection locked="0"/>
    </xf>
    <xf numFmtId="167" fontId="7" fillId="3" borderId="49" xfId="1" applyNumberFormat="1" applyFill="1" applyBorder="1" applyAlignment="1" applyProtection="1">
      <alignment vertical="center"/>
      <protection locked="0"/>
    </xf>
    <xf numFmtId="167" fontId="8" fillId="3" borderId="48" xfId="2" applyNumberFormat="1" applyFill="1" applyBorder="1" applyAlignment="1" applyProtection="1">
      <alignment vertical="center"/>
      <protection locked="0"/>
    </xf>
    <xf numFmtId="0" fontId="7" fillId="3" borderId="50" xfId="1" applyNumberFormat="1" applyFill="1" applyBorder="1" applyAlignment="1" applyProtection="1">
      <alignment vertical="center"/>
      <protection locked="0"/>
    </xf>
    <xf numFmtId="0" fontId="7" fillId="3" borderId="51" xfId="1" applyNumberFormat="1" applyFill="1" applyBorder="1" applyAlignment="1" applyProtection="1">
      <alignment vertical="center"/>
      <protection locked="0"/>
    </xf>
    <xf numFmtId="0" fontId="7" fillId="3" borderId="50" xfId="1" applyFill="1" applyBorder="1" applyAlignment="1" applyProtection="1">
      <alignment vertical="center"/>
      <protection locked="0"/>
    </xf>
    <xf numFmtId="0" fontId="7" fillId="3" borderId="53" xfId="1" applyFill="1" applyBorder="1" applyAlignment="1" applyProtection="1">
      <alignment vertical="center"/>
      <protection locked="0"/>
    </xf>
    <xf numFmtId="0" fontId="7" fillId="3" borderId="51" xfId="1" applyFill="1" applyBorder="1" applyAlignment="1" applyProtection="1">
      <alignment vertical="center"/>
      <protection locked="0"/>
    </xf>
    <xf numFmtId="0" fontId="0" fillId="0" borderId="0" xfId="0" applyAlignment="1">
      <alignment horizontal="right" vertical="center"/>
    </xf>
    <xf numFmtId="0" fontId="31" fillId="7" borderId="0" xfId="0" applyFont="1" applyFill="1" applyAlignment="1">
      <alignment vertical="center" wrapText="1"/>
    </xf>
    <xf numFmtId="0" fontId="0" fillId="0" borderId="0" xfId="0" applyAlignment="1">
      <alignment horizontal="left" vertical="center" wrapText="1"/>
    </xf>
    <xf numFmtId="0" fontId="0" fillId="0" borderId="0" xfId="0" applyAlignment="1">
      <alignment horizontal="right" vertical="center" wrapText="1"/>
    </xf>
    <xf numFmtId="0" fontId="13" fillId="0" borderId="0" xfId="0" applyFont="1" applyAlignment="1">
      <alignment wrapText="1"/>
    </xf>
    <xf numFmtId="0" fontId="33" fillId="7" borderId="0" xfId="0" applyFont="1" applyFill="1" applyAlignment="1">
      <alignment wrapText="1"/>
    </xf>
    <xf numFmtId="0" fontId="33" fillId="7" borderId="29" xfId="0" applyFont="1" applyFill="1" applyBorder="1" applyAlignment="1">
      <alignment wrapText="1"/>
    </xf>
    <xf numFmtId="0" fontId="15" fillId="0" borderId="40" xfId="0" applyFont="1" applyBorder="1" applyAlignment="1">
      <alignment vertical="center"/>
    </xf>
    <xf numFmtId="0" fontId="15" fillId="0" borderId="41" xfId="0" applyFont="1" applyBorder="1" applyAlignment="1">
      <alignment vertical="center"/>
    </xf>
    <xf numFmtId="0" fontId="15" fillId="0" borderId="0" xfId="0" applyFont="1" applyAlignment="1">
      <alignment horizontal="left" vertical="center" wrapText="1"/>
    </xf>
    <xf numFmtId="0" fontId="15" fillId="0" borderId="0" xfId="0" applyFont="1" applyAlignment="1" applyProtection="1">
      <alignment horizontal="left" vertical="center" wrapText="1"/>
      <protection locked="0"/>
    </xf>
    <xf numFmtId="0" fontId="0" fillId="0" borderId="0" xfId="0" applyAlignment="1" applyProtection="1">
      <alignment vertical="center" wrapText="1"/>
      <protection locked="0"/>
    </xf>
    <xf numFmtId="0" fontId="0" fillId="7" borderId="0" xfId="0" applyFill="1" applyAlignment="1">
      <alignment wrapText="1"/>
    </xf>
    <xf numFmtId="0" fontId="15" fillId="0" borderId="0" xfId="0" applyFont="1" applyAlignment="1">
      <alignment vertical="center" wrapText="1"/>
    </xf>
    <xf numFmtId="0" fontId="17" fillId="0" borderId="34" xfId="0" applyFont="1" applyBorder="1" applyAlignment="1">
      <alignment horizontal="left" vertical="center" wrapText="1"/>
    </xf>
    <xf numFmtId="0" fontId="17" fillId="0" borderId="42" xfId="0" applyFont="1" applyBorder="1" applyAlignment="1">
      <alignment horizontal="left" vertical="center" wrapText="1"/>
    </xf>
    <xf numFmtId="0" fontId="17" fillId="0" borderId="43" xfId="0" applyFont="1" applyBorder="1" applyAlignment="1">
      <alignment horizontal="left" vertical="center" wrapText="1"/>
    </xf>
    <xf numFmtId="0" fontId="17" fillId="0" borderId="29" xfId="0" applyFont="1" applyBorder="1" applyAlignment="1">
      <alignment horizontal="left" vertical="center" wrapText="1"/>
    </xf>
    <xf numFmtId="0" fontId="17" fillId="0" borderId="44" xfId="0" applyFont="1" applyBorder="1" applyAlignment="1">
      <alignment horizontal="left" vertical="center" wrapText="1"/>
    </xf>
    <xf numFmtId="0" fontId="17" fillId="0" borderId="0" xfId="0" applyFont="1" applyAlignment="1">
      <alignment horizontal="left" vertical="center"/>
    </xf>
    <xf numFmtId="0" fontId="0" fillId="7" borderId="29" xfId="0" applyFill="1" applyBorder="1" applyAlignment="1">
      <alignment wrapText="1"/>
    </xf>
    <xf numFmtId="0" fontId="0" fillId="0" borderId="43" xfId="0" applyBorder="1" applyAlignment="1">
      <alignment wrapText="1"/>
    </xf>
    <xf numFmtId="0" fontId="0" fillId="0" borderId="29" xfId="0" applyBorder="1" applyAlignment="1">
      <alignment wrapText="1"/>
    </xf>
    <xf numFmtId="0" fontId="0" fillId="0" borderId="22" xfId="0" applyBorder="1" applyAlignment="1">
      <alignment horizontal="left" vertical="center" wrapText="1"/>
    </xf>
    <xf numFmtId="0" fontId="0" fillId="0" borderId="19" xfId="0" applyBorder="1" applyAlignment="1">
      <alignment horizontal="left" vertical="center" wrapText="1"/>
    </xf>
    <xf numFmtId="0" fontId="0" fillId="0" borderId="0" xfId="0" applyAlignment="1">
      <alignment horizontal="left" vertical="top" wrapText="1"/>
    </xf>
    <xf numFmtId="0" fontId="37" fillId="0" borderId="0" xfId="0" applyFont="1" applyAlignment="1">
      <alignment wrapText="1"/>
    </xf>
  </cellXfs>
  <cellStyles count="268">
    <cellStyle name="Comma" xfId="82" builtinId="3"/>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Hyperlink" xfId="2" builtinId="8"/>
    <cellStyle name="Normal" xfId="0" builtinId="0"/>
    <cellStyle name="Output" xfId="1" builtinId="21"/>
    <cellStyle name="Percent" xfId="15" builtinId="5"/>
  </cellStyles>
  <dxfs count="114">
    <dxf>
      <numFmt numFmtId="35" formatCode="_(* #,##0.00_);_(* \(#,##0.00\);_(* &quot;-&quot;??_);_(@_)"/>
    </dxf>
    <dxf>
      <numFmt numFmtId="35" formatCode="_(* #,##0.00_);_(* \(#,##0.00\);_(* &quot;-&quot;??_);_(@_)"/>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outline="0">
        <left/>
        <right style="thin">
          <color auto="1"/>
        </right>
        <top style="thin">
          <color indexed="64"/>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theme="1"/>
        <name val="Calibri"/>
        <family val="2"/>
        <scheme val="minor"/>
      </font>
      <border diagonalUp="0" diagonalDown="0" outline="0">
        <left style="thin">
          <color auto="1"/>
        </left>
        <right style="thin">
          <color auto="1"/>
        </right>
        <top/>
        <bottom/>
      </border>
    </dxf>
    <dxf>
      <numFmt numFmtId="0" formatCode="General"/>
    </dxf>
    <dxf>
      <font>
        <b/>
        <i val="0"/>
        <strike val="0"/>
        <condense val="0"/>
        <extend val="0"/>
        <outline val="0"/>
        <shadow val="0"/>
        <u val="none"/>
        <vertAlign val="baseline"/>
        <sz val="12"/>
        <color theme="1"/>
        <name val="Calibri"/>
        <scheme val="minor"/>
      </font>
      <alignment horizontal="general" vertical="bottom" textRotation="0" wrapText="1" indent="0" justifyLastLine="0" shrinkToFit="0" readingOrder="0"/>
    </dxf>
    <dxf>
      <numFmt numFmtId="0" formatCode="General"/>
    </dxf>
    <dxf>
      <font>
        <b val="0"/>
        <i val="0"/>
        <strike val="0"/>
        <condense val="0"/>
        <extend val="0"/>
        <outline val="0"/>
        <shadow val="0"/>
        <u val="none"/>
        <vertAlign val="baseline"/>
        <sz val="11"/>
        <color rgb="FF363435"/>
        <name val="Arial Unicode MS"/>
        <scheme val="none"/>
      </font>
      <alignment horizontal="general" vertical="center" textRotation="0" wrapText="1" indent="0" justifyLastLine="0" shrinkToFit="0" readingOrder="0"/>
      <border diagonalUp="0" diagonalDown="0" outline="0">
        <left/>
        <right/>
        <top/>
        <bottom style="medium">
          <color rgb="FF848688"/>
        </bottom>
      </border>
    </dxf>
    <dxf>
      <font>
        <b val="0"/>
        <i val="0"/>
        <strike val="0"/>
        <condense val="0"/>
        <extend val="0"/>
        <outline val="0"/>
        <shadow val="0"/>
        <u val="none"/>
        <vertAlign val="baseline"/>
        <sz val="11"/>
        <color rgb="FF363435"/>
        <name val="Arial Unicode MS"/>
        <scheme val="none"/>
      </font>
      <alignment horizontal="general" vertical="center" textRotation="0" wrapText="1" indent="0" justifyLastLine="0" shrinkToFit="0" readingOrder="0"/>
      <border diagonalUp="0" diagonalDown="0">
        <left/>
        <right style="medium">
          <color rgb="FF363435"/>
        </right>
        <top/>
        <bottom style="medium">
          <color rgb="FF848688"/>
        </bottom>
        <vertical/>
        <horizontal/>
      </border>
    </dxf>
    <dxf>
      <border outline="0">
        <left style="medium">
          <color rgb="FF006D95"/>
        </left>
        <right style="medium">
          <color rgb="FF363435"/>
        </right>
        <top style="medium">
          <color rgb="FF006D95"/>
        </top>
        <bottom style="medium">
          <color rgb="FF006D95"/>
        </bottom>
      </border>
    </dxf>
    <dxf>
      <border outline="0">
        <bottom style="medium">
          <color rgb="FF006D95"/>
        </bottom>
      </border>
    </dxf>
    <dxf>
      <font>
        <b/>
        <i val="0"/>
        <strike val="0"/>
        <condense val="0"/>
        <extend val="0"/>
        <outline val="0"/>
        <shadow val="0"/>
        <u val="none"/>
        <vertAlign val="baseline"/>
        <sz val="11"/>
        <color auto="1"/>
        <name val="Times New Roman"/>
        <scheme val="none"/>
      </font>
      <alignment horizontal="general" vertical="center" textRotation="0" wrapText="1" indent="0" justifyLastLine="0" shrinkToFit="0" readingOrder="0"/>
      <border diagonalUp="0" diagonalDown="0" outline="0">
        <left style="medium">
          <color rgb="FF363435"/>
        </left>
        <right style="medium">
          <color rgb="FF363435"/>
        </right>
        <top/>
        <bottom/>
      </border>
    </dxf>
    <dxf>
      <font>
        <strike val="0"/>
        <outline val="0"/>
        <shadow val="0"/>
        <u val="none"/>
        <vertAlign val="baseline"/>
        <name val="Calibri"/>
        <scheme val="minor"/>
      </font>
      <numFmt numFmtId="166" formatCode="_(* #,##0_);_(* \(#,##0\);_(* &quot;-&quot;??_);_(@_)"/>
      <fill>
        <patternFill patternType="solid">
          <fgColor indexed="64"/>
          <bgColor theme="4" tint="0.79998168889431442"/>
        </patternFill>
      </fill>
      <border diagonalUp="0" diagonalDown="0">
        <left style="thin">
          <color auto="1"/>
        </left>
        <right/>
        <top style="thin">
          <color indexed="64"/>
        </top>
        <bottom style="thin">
          <color indexed="64"/>
        </bottom>
      </border>
    </dxf>
    <dxf>
      <numFmt numFmtId="166" formatCode="_(* #,##0_);_(* \(#,##0\);_(* &quot;-&quot;??_);_(@_)"/>
      <fill>
        <patternFill patternType="solid">
          <fgColor indexed="64"/>
          <bgColor theme="6" tint="0.79998168889431442"/>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name val="Calibri"/>
        <scheme val="minor"/>
      </font>
      <fill>
        <patternFill patternType="solid">
          <fgColor indexed="64"/>
          <bgColor theme="6" tint="0.59999389629810485"/>
        </patternFill>
      </fill>
      <border diagonalUp="0" diagonalDown="0" outline="0">
        <left style="thin">
          <color auto="1"/>
        </left>
        <right style="thin">
          <color auto="1"/>
        </right>
        <top style="thin">
          <color auto="1"/>
        </top>
        <bottom/>
      </border>
    </dxf>
    <dxf>
      <fill>
        <patternFill patternType="solid">
          <fgColor indexed="64"/>
          <bgColor theme="6" tint="0.79998168889431442"/>
        </patternFill>
      </fill>
      <border diagonalUp="0" diagonalDown="0">
        <left style="thin">
          <color auto="1"/>
        </left>
        <right style="thin">
          <color auto="1"/>
        </right>
        <top style="thin">
          <color auto="1"/>
        </top>
        <bottom/>
        <vertical/>
        <horizontal/>
      </border>
    </dxf>
    <dxf>
      <font>
        <strike val="0"/>
        <outline val="0"/>
        <shadow val="0"/>
        <u val="none"/>
        <vertAlign val="baseline"/>
        <name val="Calibri"/>
        <scheme val="minor"/>
      </font>
      <fill>
        <patternFill patternType="solid">
          <fgColor indexed="64"/>
          <bgColor theme="6" tint="0.79998168889431442"/>
        </patternFill>
      </fill>
      <alignment horizontal="general" vertical="bottom" textRotation="0" wrapText="1" justifyLastLine="0" shrinkToFit="0" readingOrder="0"/>
      <border diagonalUp="0" diagonalDown="0" outline="0">
        <left style="thin">
          <color auto="1"/>
        </left>
        <right style="thin">
          <color auto="1"/>
        </right>
        <top style="thin">
          <color indexed="64"/>
        </top>
        <bottom style="thin">
          <color indexed="64"/>
        </bottom>
      </border>
    </dxf>
    <dxf>
      <fill>
        <patternFill patternType="solid">
          <fgColor indexed="64"/>
          <bgColor theme="6" tint="0.59999389629810485"/>
        </patternFill>
      </fill>
      <border diagonalUp="0" diagonalDown="0">
        <left/>
        <right style="thin">
          <color auto="1"/>
        </right>
        <top style="thin">
          <color auto="1"/>
        </top>
        <bottom/>
        <vertical/>
        <horizontal/>
      </border>
    </dxf>
    <dxf>
      <font>
        <strike val="0"/>
        <outline val="0"/>
        <shadow val="0"/>
        <u val="none"/>
        <vertAlign val="baseline"/>
        <name val="Calibri"/>
        <scheme val="minor"/>
      </font>
      <fill>
        <patternFill patternType="solid">
          <fgColor indexed="64"/>
          <bgColor theme="6" tint="0.59999389629810485"/>
        </patternFill>
      </fill>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border>
        <bottom style="thin">
          <color indexed="64"/>
        </bottom>
      </border>
    </dxf>
    <dxf>
      <font>
        <b/>
        <i val="0"/>
        <strike val="0"/>
        <condense val="0"/>
        <extend val="0"/>
        <outline val="0"/>
        <shadow val="0"/>
        <u val="none"/>
        <vertAlign val="baseline"/>
        <sz val="12"/>
        <color theme="1"/>
        <name val="Calibri"/>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164" formatCode="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left style="medium">
          <color auto="1"/>
        </left>
        <right style="thin">
          <color auto="1"/>
        </right>
        <top style="medium">
          <color auto="1"/>
        </top>
        <bottom style="thin">
          <color auto="1"/>
        </bottom>
      </border>
    </dxf>
    <dxf>
      <font>
        <strike val="0"/>
        <outline val="0"/>
        <shadow val="0"/>
        <u val="none"/>
        <vertAlign val="baseline"/>
        <sz val="11"/>
        <color auto="1"/>
        <name val="Calibri"/>
        <scheme val="minor"/>
      </font>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name val="Calibri"/>
        <scheme val="minor"/>
      </font>
      <numFmt numFmtId="166" formatCode="_(* #,##0_);_(* \(#,##0\);_(* &quot;-&quot;??_);_(@_)"/>
      <fill>
        <patternFill patternType="solid">
          <fgColor indexed="64"/>
          <bgColor theme="4" tint="0.79998168889431442"/>
        </patternFill>
      </fill>
      <border diagonalUp="0" diagonalDown="0">
        <left style="thin">
          <color indexed="64"/>
        </left>
        <right/>
        <top style="thin">
          <color indexed="64"/>
        </top>
        <bottom style="thin">
          <color indexed="64"/>
        </bottom>
      </border>
    </dxf>
    <dxf>
      <font>
        <strike val="0"/>
        <outline val="0"/>
        <shadow val="0"/>
        <u val="none"/>
        <vertAlign val="baseline"/>
        <name val="Calibri"/>
        <scheme val="minor"/>
      </font>
      <fill>
        <patternFill patternType="solid">
          <fgColor indexed="64"/>
          <bgColor theme="4"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59999389629810485"/>
        </patternFill>
      </fill>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border>
        <bottom style="thin">
          <color indexed="64"/>
        </bottom>
      </border>
    </dxf>
    <dxf>
      <font>
        <b/>
        <i val="0"/>
        <strike val="0"/>
        <condense val="0"/>
        <extend val="0"/>
        <outline val="0"/>
        <shadow val="0"/>
        <u val="none"/>
        <vertAlign val="baseline"/>
        <sz val="12"/>
        <color theme="1"/>
        <name val="Calibri"/>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numFmt numFmtId="164" formatCode="0.0"/>
      <fill>
        <patternFill patternType="solid">
          <fgColor indexed="64"/>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6" tint="0.59999389629810485"/>
        </patternFill>
      </fill>
      <border diagonalUp="0" diagonalDown="0" outline="0">
        <left style="thin">
          <color auto="1"/>
        </left>
        <right style="thin">
          <color indexed="64"/>
        </right>
        <top style="thin">
          <color indexed="64"/>
        </top>
        <bottom style="thin">
          <color indexed="64"/>
        </bottom>
      </border>
    </dxf>
    <dxf>
      <numFmt numFmtId="166" formatCode="_(* #,##0_);_(* \(#,##0\);_(* &quot;-&quot;??_);_(@_)"/>
      <fill>
        <patternFill>
          <fgColor indexed="64"/>
          <bgColor theme="6" tint="0.59999389629810485"/>
        </patternFill>
      </fill>
      <border diagonalUp="0" diagonalDown="0" outline="0">
        <left style="thin">
          <color indexed="64"/>
        </left>
        <right style="thin">
          <color auto="1"/>
        </right>
        <top style="thin">
          <color indexed="64"/>
        </top>
        <bottom style="thin">
          <color indexed="64"/>
        </bottom>
      </border>
    </dxf>
    <dxf>
      <numFmt numFmtId="166" formatCode="_(* #,##0_);_(* \(#,##0\);_(* &quot;-&quot;??_);_(@_)"/>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6" tint="0.59999389629810485"/>
        </patternFill>
      </fill>
      <border diagonalUp="0" diagonalDown="0" outline="0">
        <left style="thin">
          <color auto="1"/>
        </left>
        <right style="thin">
          <color indexed="64"/>
        </right>
        <top style="thin">
          <color indexed="64"/>
        </top>
        <bottom style="thin">
          <color indexed="64"/>
        </bottom>
      </border>
    </dxf>
    <dxf>
      <fill>
        <patternFill patternType="solid">
          <fgColor indexed="64"/>
          <bgColor theme="6" tint="0.79998168889431442"/>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diagonalUp="0" diagonalDown="0" outline="0">
        <left style="thin">
          <color auto="1"/>
        </left>
        <right style="thin">
          <color auto="1"/>
        </right>
        <top style="thin">
          <color auto="1"/>
        </top>
        <bottom style="thin">
          <color auto="1"/>
        </bottom>
      </border>
    </dxf>
    <dxf>
      <border outline="0">
        <left style="medium">
          <color auto="1"/>
        </left>
        <right style="thin">
          <color auto="1"/>
        </right>
        <top style="medium">
          <color auto="1"/>
        </top>
        <bottom style="thin">
          <color auto="1"/>
        </bottom>
      </border>
    </dxf>
    <dxf>
      <font>
        <b/>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Calibri"/>
        <scheme val="minor"/>
      </font>
      <numFmt numFmtId="5" formatCode="#,##0_);\(#,##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165" formatCode="#,##0.0"/>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0" formatCode="General"/>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166" formatCode="_(* #,##0_);_(* \(#,##0\);_(* &quot;-&quot;??_);_(@_)"/>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numFmt numFmtId="0" formatCode="General"/>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protection locked="0" hidden="0"/>
    </dxf>
    <dxf>
      <font>
        <strike val="0"/>
        <outline val="0"/>
        <shadow val="0"/>
        <u val="none"/>
        <vertAlign val="baseline"/>
        <sz val="12"/>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protection locked="0" hidden="0"/>
    </dxf>
    <dxf>
      <border outline="0">
        <left style="medium">
          <color auto="1"/>
        </left>
        <right style="thin">
          <color auto="1"/>
        </right>
        <top style="medium">
          <color auto="1"/>
        </top>
        <bottom style="thin">
          <color auto="1"/>
        </bottom>
      </border>
    </dxf>
    <dxf>
      <font>
        <strike val="0"/>
        <outline val="0"/>
        <shadow val="0"/>
        <u val="none"/>
        <vertAlign val="baseline"/>
        <sz val="12"/>
        <name val="Calibri"/>
        <scheme val="minor"/>
      </font>
      <numFmt numFmtId="0" formatCode="General"/>
      <alignment horizontal="general" vertical="center" textRotation="0" indent="0" justifyLastLine="0" shrinkToFit="0"/>
      <protection locked="0" hidden="0"/>
    </dxf>
    <dxf>
      <border>
        <bottom style="medium">
          <color auto="1"/>
        </bottom>
      </border>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left/>
        <right/>
        <top/>
        <bottom/>
        <vertical/>
        <horizontal/>
      </border>
      <protection locked="0" hidden="0"/>
    </dxf>
    <dxf>
      <fill>
        <patternFill>
          <bgColor theme="4"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val="0"/>
        <i val="0"/>
        <strike val="0"/>
        <u val="none"/>
      </font>
      <fill>
        <patternFill>
          <fgColor auto="1"/>
          <bgColor theme="6" tint="0.59996337778862885"/>
        </patternFill>
      </fill>
      <border>
        <left style="thin">
          <color auto="1"/>
        </left>
        <right style="thin">
          <color auto="1"/>
        </right>
        <top style="thin">
          <color auto="1"/>
        </top>
        <bottom style="thin">
          <color auto="1"/>
        </bottom>
        <vertical/>
        <horizontal/>
      </border>
    </dxf>
    <dxf>
      <fill>
        <patternFill>
          <bgColor theme="4" tint="0.59996337778862885"/>
        </patternFill>
      </fill>
    </dxf>
    <dxf>
      <font>
        <strike val="0"/>
        <color auto="1"/>
      </font>
      <fill>
        <patternFill>
          <bgColor theme="4" tint="0.59996337778862885"/>
        </patternFill>
      </fill>
    </dxf>
    <dxf>
      <fill>
        <patternFill>
          <bgColor theme="4" tint="0.59996337778862885"/>
        </patternFill>
      </fill>
    </dxf>
    <dxf>
      <fill>
        <patternFill>
          <bgColor theme="4" tint="0.59996337778862885"/>
        </patternFill>
      </fill>
    </dxf>
    <dxf>
      <font>
        <strike val="0"/>
        <outline val="0"/>
        <shadow val="0"/>
        <u val="none"/>
        <vertAlign val="baseline"/>
        <name val="Calibri"/>
        <scheme val="minor"/>
      </font>
      <numFmt numFmtId="166" formatCode="_(* #,##0_);_(* \(#,##0\);_(* &quot;-&quot;??_);_(@_)"/>
      <fill>
        <patternFill patternType="solid">
          <fgColor indexed="64"/>
          <bgColor theme="4" tint="0.79998168889431442"/>
        </patternFill>
      </fill>
      <alignment horizontal="left" vertical="center" textRotation="0" indent="0" justifyLastLine="0" shrinkToFit="0"/>
      <border diagonalUp="0" diagonalDown="0" outline="0">
        <left style="thin">
          <color auto="1"/>
        </left>
        <right style="medium">
          <color auto="1"/>
        </right>
        <top style="thin">
          <color auto="1"/>
        </top>
        <bottom style="thin">
          <color auto="1"/>
        </bottom>
      </border>
    </dxf>
    <dxf>
      <font>
        <b/>
        <i val="0"/>
        <strike val="0"/>
        <condense val="0"/>
        <extend val="0"/>
        <outline val="0"/>
        <shadow val="0"/>
        <u val="none"/>
        <vertAlign val="baseline"/>
        <sz val="11"/>
        <color rgb="FF3F3F3F"/>
        <name val="Calibri"/>
        <scheme val="minor"/>
      </font>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66" formatCode="_(* #,##0_);_(* \(#,##0\);_(* &quot;-&quot;??_);_(@_)"/>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auto="1"/>
        <name val="Calibri"/>
        <scheme val="minor"/>
      </font>
      <numFmt numFmtId="166" formatCode="_(* #,##0_);_(* \(#,##0\);_(* &quot;-&quot;??_);_(@_)"/>
      <fill>
        <patternFill patternType="solid">
          <fgColor indexed="64"/>
          <bgColor theme="6" tint="0.59999389629810485"/>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numFmt numFmtId="166" formatCode="_(* #,##0_);_(* \(#,##0\);_(* &quot;-&quot;??_);_(@_)"/>
      <fill>
        <patternFill patternType="solid">
          <fgColor indexed="64"/>
          <bgColor theme="6" tint="0.59999389629810485"/>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left style="medium">
          <color auto="1"/>
        </left>
        <top style="medium">
          <color auto="1"/>
        </top>
        <bottom style="thin">
          <color auto="1"/>
        </bottom>
      </border>
    </dxf>
    <dxf>
      <font>
        <strike val="0"/>
        <outline val="0"/>
        <shadow val="0"/>
        <u val="none"/>
        <vertAlign val="baseline"/>
        <name val="Calibri"/>
        <scheme val="minor"/>
      </font>
      <alignment horizontal="left" vertical="center" textRotation="0" indent="0" justifyLastLine="0" shrinkToFit="0"/>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Calibri"/>
        <scheme val="minor"/>
      </font>
      <numFmt numFmtId="5" formatCode="#,##0_);\(#,##0\)"/>
      <fill>
        <patternFill patternType="solid">
          <fgColor indexed="64"/>
          <bgColor theme="4" tint="0.79998168889431442"/>
        </patternFill>
      </fill>
      <alignment horizontal="general" vertical="center" textRotation="0" indent="0" justifyLastLine="0" shrinkToFit="0"/>
      <border diagonalUp="0" diagonalDown="0">
        <left style="thin">
          <color auto="1"/>
        </left>
        <right style="thin">
          <color auto="1"/>
        </right>
        <top style="thin">
          <color auto="1"/>
        </top>
        <bottom style="thin">
          <color auto="1"/>
        </bottom>
      </border>
      <protection locked="1" hidden="1"/>
    </dxf>
    <dxf>
      <font>
        <b val="0"/>
        <i val="0"/>
        <strike val="0"/>
        <condense val="0"/>
        <extend val="0"/>
        <outline val="0"/>
        <shadow val="0"/>
        <u val="none"/>
        <vertAlign val="baseline"/>
        <sz val="12"/>
        <color auto="1"/>
        <name val="Calibri"/>
        <scheme val="minor"/>
      </font>
      <numFmt numFmtId="3" formatCode="#,##0"/>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165" formatCode="#,##0.0"/>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protection locked="0" hidden="0"/>
    </dxf>
    <dxf>
      <font>
        <strike val="0"/>
        <outline val="0"/>
        <shadow val="0"/>
        <u val="none"/>
        <vertAlign val="baseline"/>
        <sz val="12"/>
        <name val="Calibri"/>
        <scheme val="minor"/>
      </font>
      <numFmt numFmtId="0" formatCode="General"/>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166" formatCode="_(* #,##0_);_(* \(#,##0\);_(* &quot;-&quot;??_);_(@_)"/>
      <fill>
        <patternFill patternType="solid">
          <fgColor indexed="64"/>
          <bgColor theme="6" tint="0.59999389629810485"/>
        </patternFill>
      </fill>
      <alignment horizontal="general" vertical="center" textRotation="0" indent="0" justifyLastLine="0" shrinkToFit="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numFmt numFmtId="0" formatCode="General"/>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0" formatCode="General"/>
      <fill>
        <patternFill patternType="solid">
          <fgColor indexed="64"/>
          <bgColor theme="6"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border outline="0">
        <left style="medium">
          <color auto="1"/>
        </left>
        <right style="thin">
          <color auto="1"/>
        </right>
        <top style="medium">
          <color auto="1"/>
        </top>
        <bottom style="thin">
          <color auto="1"/>
        </bottom>
      </border>
    </dxf>
    <dxf>
      <font>
        <strike val="0"/>
        <outline val="0"/>
        <shadow val="0"/>
        <u val="none"/>
        <vertAlign val="baseline"/>
        <sz val="12"/>
        <name val="Calibri"/>
        <scheme val="minor"/>
      </font>
      <numFmt numFmtId="0" formatCode="General"/>
      <alignment horizontal="general" vertical="center" textRotation="0" indent="0" justifyLastLine="0" shrinkToFit="0"/>
      <protection locked="0" hidden="0"/>
    </dxf>
    <dxf>
      <border>
        <bottom style="medium">
          <color auto="1"/>
        </bottom>
      </border>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left/>
        <right/>
        <top/>
        <bottom/>
        <vertical/>
        <horizontal/>
      </border>
      <protection locked="0" hidden="0"/>
    </dxf>
    <dxf>
      <fill>
        <patternFill>
          <bgColor theme="4" tint="0.59996337778862885"/>
        </patternFill>
      </fill>
    </dxf>
    <dxf>
      <fill>
        <patternFill>
          <bgColor theme="4" tint="0.59996337778862885"/>
        </patternFill>
      </fill>
    </dxf>
    <dxf>
      <font>
        <strike val="0"/>
        <color auto="1"/>
      </font>
      <fill>
        <patternFill>
          <bgColor theme="4" tint="0.59996337778862885"/>
        </patternFill>
      </fill>
    </dxf>
    <dxf>
      <fill>
        <patternFill>
          <bgColor theme="4" tint="0.59996337778862885"/>
        </patternFill>
      </fill>
    </dxf>
    <dxf>
      <fill>
        <patternFill>
          <bgColor theme="4" tint="0.59996337778862885"/>
        </patternFill>
      </fill>
    </dxf>
    <dxf>
      <font>
        <b val="0"/>
        <i val="0"/>
        <strike val="0"/>
        <condense val="0"/>
        <extend val="0"/>
        <outline val="0"/>
        <shadow val="0"/>
        <u val="none"/>
        <vertAlign val="baseline"/>
        <sz val="12"/>
        <color theme="1"/>
        <name val="Calibri"/>
        <scheme val="minor"/>
      </font>
      <numFmt numFmtId="166"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4" formatCode="0.0"/>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1" indent="0" justifyLastLine="0" shrinkToFit="0" readingOrder="0"/>
      <border diagonalUp="0" diagonalDown="0" outline="0">
        <left style="thin">
          <color auto="1"/>
        </left>
        <right style="thin">
          <color auto="1"/>
        </right>
        <top style="thin">
          <color auto="1"/>
        </top>
        <bottom/>
      </border>
    </dxf>
    <dxf>
      <border outline="0">
        <left style="thin">
          <color auto="1"/>
        </left>
        <right style="thin">
          <color auto="1"/>
        </right>
        <top style="medium">
          <color auto="1"/>
        </top>
        <bottom style="thin">
          <color auto="1"/>
        </bottom>
      </border>
    </dxf>
    <dxf>
      <font>
        <b/>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559C-3748-AE96-39865738AFF4}"/>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559C-3748-AE96-39865738AFF4}"/>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559C-3748-AE96-39865738AFF4}"/>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559C-3748-AE96-39865738AFF4}"/>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559C-3748-AE96-39865738AFF4}"/>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559C-3748-AE96-39865738AFF4}"/>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559C-3748-AE96-39865738AFF4}"/>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559C-3748-AE96-39865738AFF4}"/>
            </c:ext>
          </c:extLst>
        </c:ser>
        <c:dLbls>
          <c:showLegendKey val="0"/>
          <c:showVal val="0"/>
          <c:showCatName val="0"/>
          <c:showSerName val="0"/>
          <c:showPercent val="0"/>
          <c:showBubbleSize val="0"/>
        </c:dLbls>
        <c:gapWidth val="150"/>
        <c:overlap val="100"/>
        <c:axId val="2089691544"/>
        <c:axId val="2087165720"/>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559C-3748-AE96-39865738AFF4}"/>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559C-3748-AE96-39865738AFF4}"/>
            </c:ext>
          </c:extLst>
        </c:ser>
        <c:dLbls>
          <c:showLegendKey val="0"/>
          <c:showVal val="0"/>
          <c:showCatName val="0"/>
          <c:showSerName val="0"/>
          <c:showPercent val="0"/>
          <c:showBubbleSize val="0"/>
        </c:dLbls>
        <c:marker val="1"/>
        <c:smooth val="0"/>
        <c:axId val="2089691544"/>
        <c:axId val="2087165720"/>
      </c:lineChart>
      <c:catAx>
        <c:axId val="2089691544"/>
        <c:scaling>
          <c:orientation val="minMax"/>
        </c:scaling>
        <c:delete val="1"/>
        <c:axPos val="b"/>
        <c:numFmt formatCode="General" sourceLinked="1"/>
        <c:majorTickMark val="out"/>
        <c:minorTickMark val="none"/>
        <c:tickLblPos val="nextTo"/>
        <c:crossAx val="2087165720"/>
        <c:crosses val="autoZero"/>
        <c:auto val="1"/>
        <c:lblAlgn val="ctr"/>
        <c:lblOffset val="100"/>
        <c:noMultiLvlLbl val="0"/>
      </c:catAx>
      <c:valAx>
        <c:axId val="2087165720"/>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089691544"/>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BD39-D74B-89E0-916C3456AA35}"/>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BD39-D74B-89E0-916C3456AA35}"/>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BD39-D74B-89E0-916C3456AA35}"/>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BD39-D74B-89E0-916C3456AA35}"/>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BD39-D74B-89E0-916C3456AA35}"/>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BD39-D74B-89E0-916C3456AA35}"/>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BD39-D74B-89E0-916C3456AA35}"/>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BD39-D74B-89E0-916C3456AA35}"/>
            </c:ext>
          </c:extLst>
        </c:ser>
        <c:dLbls>
          <c:showLegendKey val="0"/>
          <c:showVal val="0"/>
          <c:showCatName val="0"/>
          <c:showSerName val="0"/>
          <c:showPercent val="0"/>
          <c:showBubbleSize val="0"/>
        </c:dLbls>
        <c:gapWidth val="150"/>
        <c:overlap val="100"/>
        <c:axId val="2091175336"/>
        <c:axId val="2090073528"/>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BD39-D74B-89E0-916C3456AA35}"/>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BD39-D74B-89E0-916C3456AA35}"/>
            </c:ext>
          </c:extLst>
        </c:ser>
        <c:dLbls>
          <c:showLegendKey val="0"/>
          <c:showVal val="0"/>
          <c:showCatName val="0"/>
          <c:showSerName val="0"/>
          <c:showPercent val="0"/>
          <c:showBubbleSize val="0"/>
        </c:dLbls>
        <c:marker val="1"/>
        <c:smooth val="0"/>
        <c:axId val="2091175336"/>
        <c:axId val="2090073528"/>
      </c:lineChart>
      <c:catAx>
        <c:axId val="2091175336"/>
        <c:scaling>
          <c:orientation val="minMax"/>
        </c:scaling>
        <c:delete val="1"/>
        <c:axPos val="b"/>
        <c:numFmt formatCode="General" sourceLinked="1"/>
        <c:majorTickMark val="out"/>
        <c:minorTickMark val="none"/>
        <c:tickLblPos val="nextTo"/>
        <c:crossAx val="2090073528"/>
        <c:crosses val="autoZero"/>
        <c:auto val="1"/>
        <c:lblAlgn val="ctr"/>
        <c:lblOffset val="100"/>
        <c:noMultiLvlLbl val="0"/>
      </c:catAx>
      <c:valAx>
        <c:axId val="2090073528"/>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091175336"/>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CDC5-EB40-87B0-F1F503237117}"/>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CDC5-EB40-87B0-F1F503237117}"/>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CDC5-EB40-87B0-F1F503237117}"/>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CDC5-EB40-87B0-F1F503237117}"/>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CDC5-EB40-87B0-F1F503237117}"/>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CDC5-EB40-87B0-F1F503237117}"/>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CDC5-EB40-87B0-F1F503237117}"/>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CDC5-EB40-87B0-F1F503237117}"/>
            </c:ext>
          </c:extLst>
        </c:ser>
        <c:dLbls>
          <c:showLegendKey val="0"/>
          <c:showVal val="0"/>
          <c:showCatName val="0"/>
          <c:showSerName val="0"/>
          <c:showPercent val="0"/>
          <c:showBubbleSize val="0"/>
        </c:dLbls>
        <c:gapWidth val="150"/>
        <c:overlap val="100"/>
        <c:axId val="2139428952"/>
        <c:axId val="2139431992"/>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CDC5-EB40-87B0-F1F503237117}"/>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CDC5-EB40-87B0-F1F503237117}"/>
            </c:ext>
          </c:extLst>
        </c:ser>
        <c:dLbls>
          <c:showLegendKey val="0"/>
          <c:showVal val="0"/>
          <c:showCatName val="0"/>
          <c:showSerName val="0"/>
          <c:showPercent val="0"/>
          <c:showBubbleSize val="0"/>
        </c:dLbls>
        <c:marker val="1"/>
        <c:smooth val="0"/>
        <c:axId val="2139428952"/>
        <c:axId val="2139431992"/>
      </c:lineChart>
      <c:catAx>
        <c:axId val="2139428952"/>
        <c:scaling>
          <c:orientation val="minMax"/>
        </c:scaling>
        <c:delete val="1"/>
        <c:axPos val="b"/>
        <c:numFmt formatCode="General" sourceLinked="1"/>
        <c:majorTickMark val="out"/>
        <c:minorTickMark val="none"/>
        <c:tickLblPos val="nextTo"/>
        <c:crossAx val="2139431992"/>
        <c:crosses val="autoZero"/>
        <c:auto val="1"/>
        <c:lblAlgn val="ctr"/>
        <c:lblOffset val="100"/>
        <c:noMultiLvlLbl val="0"/>
      </c:catAx>
      <c:valAx>
        <c:axId val="2139431992"/>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139428952"/>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349D-914E-997C-F529534E0517}"/>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349D-914E-997C-F529534E0517}"/>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349D-914E-997C-F529534E0517}"/>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349D-914E-997C-F529534E0517}"/>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349D-914E-997C-F529534E0517}"/>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349D-914E-997C-F529534E0517}"/>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349D-914E-997C-F529534E0517}"/>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349D-914E-997C-F529534E0517}"/>
            </c:ext>
          </c:extLst>
        </c:ser>
        <c:dLbls>
          <c:showLegendKey val="0"/>
          <c:showVal val="0"/>
          <c:showCatName val="0"/>
          <c:showSerName val="0"/>
          <c:showPercent val="0"/>
          <c:showBubbleSize val="0"/>
        </c:dLbls>
        <c:gapWidth val="150"/>
        <c:overlap val="100"/>
        <c:axId val="2139615240"/>
        <c:axId val="2139618280"/>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349D-914E-997C-F529534E0517}"/>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349D-914E-997C-F529534E0517}"/>
            </c:ext>
          </c:extLst>
        </c:ser>
        <c:dLbls>
          <c:showLegendKey val="0"/>
          <c:showVal val="0"/>
          <c:showCatName val="0"/>
          <c:showSerName val="0"/>
          <c:showPercent val="0"/>
          <c:showBubbleSize val="0"/>
        </c:dLbls>
        <c:marker val="1"/>
        <c:smooth val="0"/>
        <c:axId val="2139615240"/>
        <c:axId val="2139618280"/>
      </c:lineChart>
      <c:catAx>
        <c:axId val="2139615240"/>
        <c:scaling>
          <c:orientation val="minMax"/>
        </c:scaling>
        <c:delete val="1"/>
        <c:axPos val="b"/>
        <c:numFmt formatCode="General" sourceLinked="1"/>
        <c:majorTickMark val="out"/>
        <c:minorTickMark val="none"/>
        <c:tickLblPos val="nextTo"/>
        <c:crossAx val="2139618280"/>
        <c:crosses val="autoZero"/>
        <c:auto val="1"/>
        <c:lblAlgn val="ctr"/>
        <c:lblOffset val="100"/>
        <c:noMultiLvlLbl val="0"/>
      </c:catAx>
      <c:valAx>
        <c:axId val="2139618280"/>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139615240"/>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09A6-EA4A-AD9A-C0D00B65A02A}"/>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09A6-EA4A-AD9A-C0D00B65A02A}"/>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09A6-EA4A-AD9A-C0D00B65A02A}"/>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09A6-EA4A-AD9A-C0D00B65A02A}"/>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09A6-EA4A-AD9A-C0D00B65A02A}"/>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09A6-EA4A-AD9A-C0D00B65A02A}"/>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09A6-EA4A-AD9A-C0D00B65A02A}"/>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09A6-EA4A-AD9A-C0D00B65A02A}"/>
            </c:ext>
          </c:extLst>
        </c:ser>
        <c:dLbls>
          <c:showLegendKey val="0"/>
          <c:showVal val="0"/>
          <c:showCatName val="0"/>
          <c:showSerName val="0"/>
          <c:showPercent val="0"/>
          <c:showBubbleSize val="0"/>
        </c:dLbls>
        <c:gapWidth val="150"/>
        <c:overlap val="100"/>
        <c:axId val="2087745768"/>
        <c:axId val="2087748808"/>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09A6-EA4A-AD9A-C0D00B65A02A}"/>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09A6-EA4A-AD9A-C0D00B65A02A}"/>
            </c:ext>
          </c:extLst>
        </c:ser>
        <c:dLbls>
          <c:showLegendKey val="0"/>
          <c:showVal val="0"/>
          <c:showCatName val="0"/>
          <c:showSerName val="0"/>
          <c:showPercent val="0"/>
          <c:showBubbleSize val="0"/>
        </c:dLbls>
        <c:marker val="1"/>
        <c:smooth val="0"/>
        <c:axId val="2087745768"/>
        <c:axId val="2087748808"/>
      </c:lineChart>
      <c:catAx>
        <c:axId val="2087745768"/>
        <c:scaling>
          <c:orientation val="minMax"/>
        </c:scaling>
        <c:delete val="1"/>
        <c:axPos val="b"/>
        <c:numFmt formatCode="General" sourceLinked="1"/>
        <c:majorTickMark val="out"/>
        <c:minorTickMark val="none"/>
        <c:tickLblPos val="nextTo"/>
        <c:crossAx val="2087748808"/>
        <c:crosses val="autoZero"/>
        <c:auto val="1"/>
        <c:lblAlgn val="ctr"/>
        <c:lblOffset val="100"/>
        <c:noMultiLvlLbl val="0"/>
      </c:catAx>
      <c:valAx>
        <c:axId val="2087748808"/>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087745768"/>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DC28-1A44-A490-53511FBD15B9}"/>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DC28-1A44-A490-53511FBD15B9}"/>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DC28-1A44-A490-53511FBD15B9}"/>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DC28-1A44-A490-53511FBD15B9}"/>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DC28-1A44-A490-53511FBD15B9}"/>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DC28-1A44-A490-53511FBD15B9}"/>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DC28-1A44-A490-53511FBD15B9}"/>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DC28-1A44-A490-53511FBD15B9}"/>
            </c:ext>
          </c:extLst>
        </c:ser>
        <c:dLbls>
          <c:showLegendKey val="0"/>
          <c:showVal val="0"/>
          <c:showCatName val="0"/>
          <c:showSerName val="0"/>
          <c:showPercent val="0"/>
          <c:showBubbleSize val="0"/>
        </c:dLbls>
        <c:gapWidth val="150"/>
        <c:overlap val="100"/>
        <c:axId val="2066464184"/>
        <c:axId val="2087963320"/>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DC28-1A44-A490-53511FBD15B9}"/>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DC28-1A44-A490-53511FBD15B9}"/>
            </c:ext>
          </c:extLst>
        </c:ser>
        <c:dLbls>
          <c:showLegendKey val="0"/>
          <c:showVal val="0"/>
          <c:showCatName val="0"/>
          <c:showSerName val="0"/>
          <c:showPercent val="0"/>
          <c:showBubbleSize val="0"/>
        </c:dLbls>
        <c:marker val="1"/>
        <c:smooth val="0"/>
        <c:axId val="2066464184"/>
        <c:axId val="2087963320"/>
      </c:lineChart>
      <c:catAx>
        <c:axId val="2066464184"/>
        <c:scaling>
          <c:orientation val="minMax"/>
        </c:scaling>
        <c:delete val="1"/>
        <c:axPos val="b"/>
        <c:numFmt formatCode="General" sourceLinked="1"/>
        <c:majorTickMark val="out"/>
        <c:minorTickMark val="none"/>
        <c:tickLblPos val="nextTo"/>
        <c:crossAx val="2087963320"/>
        <c:crosses val="autoZero"/>
        <c:auto val="1"/>
        <c:lblAlgn val="ctr"/>
        <c:lblOffset val="100"/>
        <c:noMultiLvlLbl val="0"/>
      </c:catAx>
      <c:valAx>
        <c:axId val="2087963320"/>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066464184"/>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7835-2B4B-81F4-1F23125A7C3B}"/>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7835-2B4B-81F4-1F23125A7C3B}"/>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7835-2B4B-81F4-1F23125A7C3B}"/>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7835-2B4B-81F4-1F23125A7C3B}"/>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7835-2B4B-81F4-1F23125A7C3B}"/>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7835-2B4B-81F4-1F23125A7C3B}"/>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7835-2B4B-81F4-1F23125A7C3B}"/>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7835-2B4B-81F4-1F23125A7C3B}"/>
            </c:ext>
          </c:extLst>
        </c:ser>
        <c:dLbls>
          <c:showLegendKey val="0"/>
          <c:showVal val="0"/>
          <c:showCatName val="0"/>
          <c:showSerName val="0"/>
          <c:showPercent val="0"/>
          <c:showBubbleSize val="0"/>
        </c:dLbls>
        <c:gapWidth val="150"/>
        <c:overlap val="100"/>
        <c:axId val="2140524840"/>
        <c:axId val="2140527896"/>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7835-2B4B-81F4-1F23125A7C3B}"/>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7835-2B4B-81F4-1F23125A7C3B}"/>
            </c:ext>
          </c:extLst>
        </c:ser>
        <c:dLbls>
          <c:showLegendKey val="0"/>
          <c:showVal val="0"/>
          <c:showCatName val="0"/>
          <c:showSerName val="0"/>
          <c:showPercent val="0"/>
          <c:showBubbleSize val="0"/>
        </c:dLbls>
        <c:marker val="1"/>
        <c:smooth val="0"/>
        <c:axId val="2140524840"/>
        <c:axId val="2140527896"/>
      </c:lineChart>
      <c:catAx>
        <c:axId val="2140524840"/>
        <c:scaling>
          <c:orientation val="minMax"/>
        </c:scaling>
        <c:delete val="1"/>
        <c:axPos val="b"/>
        <c:numFmt formatCode="General" sourceLinked="1"/>
        <c:majorTickMark val="out"/>
        <c:minorTickMark val="none"/>
        <c:tickLblPos val="nextTo"/>
        <c:crossAx val="2140527896"/>
        <c:crosses val="autoZero"/>
        <c:auto val="1"/>
        <c:lblAlgn val="ctr"/>
        <c:lblOffset val="100"/>
        <c:noMultiLvlLbl val="0"/>
      </c:catAx>
      <c:valAx>
        <c:axId val="2140527896"/>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140524840"/>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1A1D-EB40-8F39-2C536027B2DD}"/>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1A1D-EB40-8F39-2C536027B2DD}"/>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1A1D-EB40-8F39-2C536027B2DD}"/>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1A1D-EB40-8F39-2C536027B2DD}"/>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1A1D-EB40-8F39-2C536027B2DD}"/>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1A1D-EB40-8F39-2C536027B2DD}"/>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1A1D-EB40-8F39-2C536027B2DD}"/>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1A1D-EB40-8F39-2C536027B2DD}"/>
            </c:ext>
          </c:extLst>
        </c:ser>
        <c:dLbls>
          <c:showLegendKey val="0"/>
          <c:showVal val="0"/>
          <c:showCatName val="0"/>
          <c:showSerName val="0"/>
          <c:showPercent val="0"/>
          <c:showBubbleSize val="0"/>
        </c:dLbls>
        <c:gapWidth val="150"/>
        <c:overlap val="100"/>
        <c:axId val="2140669800"/>
        <c:axId val="2140672856"/>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1A1D-EB40-8F39-2C536027B2DD}"/>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1A1D-EB40-8F39-2C536027B2DD}"/>
            </c:ext>
          </c:extLst>
        </c:ser>
        <c:dLbls>
          <c:showLegendKey val="0"/>
          <c:showVal val="0"/>
          <c:showCatName val="0"/>
          <c:showSerName val="0"/>
          <c:showPercent val="0"/>
          <c:showBubbleSize val="0"/>
        </c:dLbls>
        <c:marker val="1"/>
        <c:smooth val="0"/>
        <c:axId val="2140669800"/>
        <c:axId val="2140672856"/>
      </c:lineChart>
      <c:catAx>
        <c:axId val="2140669800"/>
        <c:scaling>
          <c:orientation val="minMax"/>
        </c:scaling>
        <c:delete val="1"/>
        <c:axPos val="b"/>
        <c:numFmt formatCode="General" sourceLinked="1"/>
        <c:majorTickMark val="out"/>
        <c:minorTickMark val="none"/>
        <c:tickLblPos val="nextTo"/>
        <c:crossAx val="2140672856"/>
        <c:crosses val="autoZero"/>
        <c:auto val="1"/>
        <c:lblAlgn val="ctr"/>
        <c:lblOffset val="100"/>
        <c:noMultiLvlLbl val="0"/>
      </c:catAx>
      <c:valAx>
        <c:axId val="2140672856"/>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140669800"/>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v>Alternative Fuels</c:v>
          </c:tx>
          <c:spPr>
            <a:solidFill>
              <a:schemeClr val="accent3"/>
            </a:solidFill>
          </c:spPr>
          <c:invertIfNegative val="0"/>
          <c:val>
            <c:numRef>
              <c:f>'AC Plan Summary'!$E$48</c:f>
              <c:numCache>
                <c:formatCode>_(* #,##0_);_(* \(#,##0\);_(* "-"??_);_(@_)</c:formatCode>
                <c:ptCount val="1"/>
                <c:pt idx="0">
                  <c:v>0</c:v>
                </c:pt>
              </c:numCache>
            </c:numRef>
          </c:val>
          <c:extLst>
            <c:ext xmlns:c16="http://schemas.microsoft.com/office/drawing/2014/chart" uri="{C3380CC4-5D6E-409C-BE32-E72D297353CC}">
              <c16:uniqueId val="{00000000-0D95-D94D-A17A-5FF7E144CB37}"/>
            </c:ext>
          </c:extLst>
        </c:ser>
        <c:ser>
          <c:idx val="1"/>
          <c:order val="1"/>
          <c:tx>
            <c:v>PHEVs</c:v>
          </c:tx>
          <c:spPr>
            <a:solidFill>
              <a:schemeClr val="accent6"/>
            </a:solidFill>
          </c:spPr>
          <c:invertIfNegative val="0"/>
          <c:val>
            <c:numRef>
              <c:f>'AC Plan Summary'!$E$49</c:f>
              <c:numCache>
                <c:formatCode>_(* #,##0_);_(* \(#,##0\);_(* "-"??_);_(@_)</c:formatCode>
                <c:ptCount val="1"/>
                <c:pt idx="0">
                  <c:v>0</c:v>
                </c:pt>
              </c:numCache>
            </c:numRef>
          </c:val>
          <c:extLst>
            <c:ext xmlns:c16="http://schemas.microsoft.com/office/drawing/2014/chart" uri="{C3380CC4-5D6E-409C-BE32-E72D297353CC}">
              <c16:uniqueId val="{00000001-0D95-D94D-A17A-5FF7E144CB37}"/>
            </c:ext>
          </c:extLst>
        </c:ser>
        <c:ser>
          <c:idx val="2"/>
          <c:order val="2"/>
          <c:tx>
            <c:v>Biodiesel Blends</c:v>
          </c:tx>
          <c:spPr>
            <a:solidFill>
              <a:schemeClr val="accent4"/>
            </a:solidFill>
          </c:spPr>
          <c:invertIfNegative val="0"/>
          <c:val>
            <c:numRef>
              <c:f>'AC Plan Summary'!$E$50</c:f>
              <c:numCache>
                <c:formatCode>_(* #,##0_);_(* \(#,##0\);_(* "-"??_);_(@_)</c:formatCode>
                <c:ptCount val="1"/>
                <c:pt idx="0">
                  <c:v>0</c:v>
                </c:pt>
              </c:numCache>
            </c:numRef>
          </c:val>
          <c:extLst>
            <c:ext xmlns:c16="http://schemas.microsoft.com/office/drawing/2014/chart" uri="{C3380CC4-5D6E-409C-BE32-E72D297353CC}">
              <c16:uniqueId val="{00000002-0D95-D94D-A17A-5FF7E144CB37}"/>
            </c:ext>
          </c:extLst>
        </c:ser>
        <c:ser>
          <c:idx val="3"/>
          <c:order val="3"/>
          <c:tx>
            <c:v>Fuel Economy</c:v>
          </c:tx>
          <c:spPr>
            <a:solidFill>
              <a:schemeClr val="accent1"/>
            </a:solidFill>
          </c:spPr>
          <c:invertIfNegative val="0"/>
          <c:val>
            <c:numRef>
              <c:f>'AC Plan Summary'!$E$51</c:f>
              <c:numCache>
                <c:formatCode>_(* #,##0_);_(* \(#,##0\);_(* "-"??_);_(@_)</c:formatCode>
                <c:ptCount val="1"/>
                <c:pt idx="0">
                  <c:v>0</c:v>
                </c:pt>
              </c:numCache>
            </c:numRef>
          </c:val>
          <c:extLst>
            <c:ext xmlns:c16="http://schemas.microsoft.com/office/drawing/2014/chart" uri="{C3380CC4-5D6E-409C-BE32-E72D297353CC}">
              <c16:uniqueId val="{00000003-0D95-D94D-A17A-5FF7E144CB37}"/>
            </c:ext>
          </c:extLst>
        </c:ser>
        <c:ser>
          <c:idx val="4"/>
          <c:order val="4"/>
          <c:tx>
            <c:v>VMT Reduction</c:v>
          </c:tx>
          <c:spPr>
            <a:solidFill>
              <a:schemeClr val="accent2"/>
            </a:solidFill>
          </c:spPr>
          <c:invertIfNegative val="0"/>
          <c:val>
            <c:numRef>
              <c:f>'AC Plan Summary'!$E$52</c:f>
              <c:numCache>
                <c:formatCode>_(* #,##0_);_(* \(#,##0\);_(* "-"??_);_(@_)</c:formatCode>
                <c:ptCount val="1"/>
                <c:pt idx="0">
                  <c:v>0</c:v>
                </c:pt>
              </c:numCache>
            </c:numRef>
          </c:val>
          <c:extLst>
            <c:ext xmlns:c16="http://schemas.microsoft.com/office/drawing/2014/chart" uri="{C3380CC4-5D6E-409C-BE32-E72D297353CC}">
              <c16:uniqueId val="{00000004-0D95-D94D-A17A-5FF7E144CB37}"/>
            </c:ext>
          </c:extLst>
        </c:ser>
        <c:ser>
          <c:idx val="5"/>
          <c:order val="5"/>
          <c:tx>
            <c:v>Truck Stop Electrification</c:v>
          </c:tx>
          <c:spPr>
            <a:solidFill>
              <a:schemeClr val="tx2"/>
            </a:solidFill>
          </c:spPr>
          <c:invertIfNegative val="0"/>
          <c:val>
            <c:numRef>
              <c:f>'AC Plan Summary'!$E$53</c:f>
              <c:numCache>
                <c:formatCode>_(* #,##0_);_(* \(#,##0\);_(* "-"??_);_(@_)</c:formatCode>
                <c:ptCount val="1"/>
                <c:pt idx="0">
                  <c:v>0</c:v>
                </c:pt>
              </c:numCache>
            </c:numRef>
          </c:val>
          <c:extLst>
            <c:ext xmlns:c16="http://schemas.microsoft.com/office/drawing/2014/chart" uri="{C3380CC4-5D6E-409C-BE32-E72D297353CC}">
              <c16:uniqueId val="{00000005-0D95-D94D-A17A-5FF7E144CB37}"/>
            </c:ext>
          </c:extLst>
        </c:ser>
        <c:ser>
          <c:idx val="6"/>
          <c:order val="6"/>
          <c:tx>
            <c:v>Idle Time Reduction</c:v>
          </c:tx>
          <c:spPr>
            <a:solidFill>
              <a:schemeClr val="bg2">
                <a:lumMod val="50000"/>
              </a:schemeClr>
            </a:solidFill>
          </c:spPr>
          <c:invertIfNegative val="0"/>
          <c:val>
            <c:numRef>
              <c:f>'AC Plan Summary'!$E$54</c:f>
              <c:numCache>
                <c:formatCode>_(* #,##0_);_(* \(#,##0\);_(* "-"??_);_(@_)</c:formatCode>
                <c:ptCount val="1"/>
                <c:pt idx="0">
                  <c:v>0</c:v>
                </c:pt>
              </c:numCache>
            </c:numRef>
          </c:val>
          <c:extLst>
            <c:ext xmlns:c16="http://schemas.microsoft.com/office/drawing/2014/chart" uri="{C3380CC4-5D6E-409C-BE32-E72D297353CC}">
              <c16:uniqueId val="{00000006-0D95-D94D-A17A-5FF7E144CB37}"/>
            </c:ext>
          </c:extLst>
        </c:ser>
        <c:ser>
          <c:idx val="7"/>
          <c:order val="7"/>
          <c:tx>
            <c:v>Onboard IR</c:v>
          </c:tx>
          <c:spPr>
            <a:solidFill>
              <a:schemeClr val="accent5"/>
            </a:solidFill>
          </c:spPr>
          <c:invertIfNegative val="0"/>
          <c:val>
            <c:numRef>
              <c:f>'AC Plan Summary'!$E$55</c:f>
              <c:numCache>
                <c:formatCode>_(* #,##0_);_(* \(#,##0\);_(* "-"??_);_(@_)</c:formatCode>
                <c:ptCount val="1"/>
                <c:pt idx="0">
                  <c:v>0</c:v>
                </c:pt>
              </c:numCache>
            </c:numRef>
          </c:val>
          <c:extLst>
            <c:ext xmlns:c16="http://schemas.microsoft.com/office/drawing/2014/chart" uri="{C3380CC4-5D6E-409C-BE32-E72D297353CC}">
              <c16:uniqueId val="{00000007-0D95-D94D-A17A-5FF7E144CB37}"/>
            </c:ext>
          </c:extLst>
        </c:ser>
        <c:dLbls>
          <c:showLegendKey val="0"/>
          <c:showVal val="0"/>
          <c:showCatName val="0"/>
          <c:showSerName val="0"/>
          <c:showPercent val="0"/>
          <c:showBubbleSize val="0"/>
        </c:dLbls>
        <c:gapWidth val="150"/>
        <c:overlap val="100"/>
        <c:axId val="2091633576"/>
        <c:axId val="2091853016"/>
      </c:barChart>
      <c:lineChart>
        <c:grouping val="standard"/>
        <c:varyColors val="0"/>
        <c:ser>
          <c:idx val="8"/>
          <c:order val="8"/>
          <c:tx>
            <c:v>Petroleum Reduction Requirement</c:v>
          </c:tx>
          <c:spPr>
            <a:ln>
              <a:solidFill>
                <a:schemeClr val="accent3">
                  <a:lumMod val="50000"/>
                </a:schemeClr>
              </a:solidFill>
            </a:ln>
          </c:spPr>
          <c:marker>
            <c:symbol val="dash"/>
            <c:size val="27"/>
            <c:spPr>
              <a:solidFill>
                <a:schemeClr val="accent3">
                  <a:lumMod val="50000"/>
                </a:schemeClr>
              </a:solidFill>
              <a:ln>
                <a:solidFill>
                  <a:schemeClr val="accent3">
                    <a:lumMod val="50000"/>
                  </a:schemeClr>
                </a:solidFill>
              </a:ln>
            </c:spPr>
          </c:marker>
          <c:dLbls>
            <c:dLbl>
              <c:idx val="0"/>
              <c:spPr>
                <a:solidFill>
                  <a:schemeClr val="bg2"/>
                </a:solidFill>
              </c:spPr>
              <c:txPr>
                <a:bodyPr/>
                <a:lstStyle/>
                <a:p>
                  <a:pPr>
                    <a:defRPr sz="1100"/>
                  </a:pPr>
                  <a:endParaRPr lang="en-US"/>
                </a:p>
              </c:txPr>
              <c:showLegendKey val="0"/>
              <c:showVal val="1"/>
              <c:showCatName val="0"/>
              <c:showSerName val="1"/>
              <c:showPercent val="0"/>
              <c:showBubbleSize val="0"/>
              <c:extLst>
                <c:ext xmlns:c16="http://schemas.microsoft.com/office/drawing/2014/chart" uri="{C3380CC4-5D6E-409C-BE32-E72D297353CC}">
                  <c16:uniqueId val="{00000008-0D95-D94D-A17A-5FF7E144CB37}"/>
                </c:ext>
              </c:extLst>
            </c:dLbl>
            <c:spPr>
              <a:noFill/>
              <a:ln>
                <a:noFill/>
              </a:ln>
              <a:effectLst/>
            </c:spPr>
            <c:txPr>
              <a:bodyPr/>
              <a:lstStyle/>
              <a:p>
                <a:pPr>
                  <a:defRPr sz="1100"/>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'AC Plan Summary'!$E$39</c:f>
              <c:numCache>
                <c:formatCode>_(* #,##0_);_(* \(#,##0\);_(* "-"??_);_(@_)</c:formatCode>
                <c:ptCount val="1"/>
                <c:pt idx="0">
                  <c:v>0</c:v>
                </c:pt>
              </c:numCache>
            </c:numRef>
          </c:val>
          <c:smooth val="0"/>
          <c:extLst>
            <c:ext xmlns:c16="http://schemas.microsoft.com/office/drawing/2014/chart" uri="{C3380CC4-5D6E-409C-BE32-E72D297353CC}">
              <c16:uniqueId val="{00000009-0D95-D94D-A17A-5FF7E144CB37}"/>
            </c:ext>
          </c:extLst>
        </c:ser>
        <c:dLbls>
          <c:showLegendKey val="0"/>
          <c:showVal val="0"/>
          <c:showCatName val="0"/>
          <c:showSerName val="0"/>
          <c:showPercent val="0"/>
          <c:showBubbleSize val="0"/>
        </c:dLbls>
        <c:marker val="1"/>
        <c:smooth val="0"/>
        <c:axId val="2091633576"/>
        <c:axId val="2091853016"/>
      </c:lineChart>
      <c:catAx>
        <c:axId val="2091633576"/>
        <c:scaling>
          <c:orientation val="minMax"/>
        </c:scaling>
        <c:delete val="1"/>
        <c:axPos val="b"/>
        <c:numFmt formatCode="General" sourceLinked="1"/>
        <c:majorTickMark val="out"/>
        <c:minorTickMark val="none"/>
        <c:tickLblPos val="nextTo"/>
        <c:crossAx val="2091853016"/>
        <c:crosses val="autoZero"/>
        <c:auto val="1"/>
        <c:lblAlgn val="ctr"/>
        <c:lblOffset val="100"/>
        <c:noMultiLvlLbl val="0"/>
      </c:catAx>
      <c:valAx>
        <c:axId val="2091853016"/>
        <c:scaling>
          <c:orientation val="minMax"/>
        </c:scaling>
        <c:delete val="0"/>
        <c:axPos val="l"/>
        <c:majorGridlines/>
        <c:title>
          <c:tx>
            <c:rich>
              <a:bodyPr rot="-5400000" vert="horz"/>
              <a:lstStyle/>
              <a:p>
                <a:pPr>
                  <a:defRPr sz="1400"/>
                </a:pPr>
                <a:r>
                  <a:rPr lang="en-US" sz="1400"/>
                  <a:t>Planned Petroleum Reduction (GGE)</a:t>
                </a:r>
              </a:p>
            </c:rich>
          </c:tx>
          <c:overlay val="0"/>
        </c:title>
        <c:numFmt formatCode="_(* #,##0_);_(* \(#,##0\);_(* &quot;-&quot;??_);_(@_)" sourceLinked="1"/>
        <c:majorTickMark val="out"/>
        <c:minorTickMark val="none"/>
        <c:tickLblPos val="nextTo"/>
        <c:txPr>
          <a:bodyPr/>
          <a:lstStyle/>
          <a:p>
            <a:pPr>
              <a:defRPr sz="1200"/>
            </a:pPr>
            <a:endParaRPr lang="en-US"/>
          </a:p>
        </c:txPr>
        <c:crossAx val="2091633576"/>
        <c:crosses val="autoZero"/>
        <c:crossBetween val="between"/>
      </c:valAx>
    </c:plotArea>
    <c:legend>
      <c:legendPos val="r"/>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loc_IdleTime"/><Relationship Id="rId3" Type="http://schemas.openxmlformats.org/officeDocument/2006/relationships/hyperlink" Target="#loc_HEVs"/><Relationship Id="rId7" Type="http://schemas.openxmlformats.org/officeDocument/2006/relationships/hyperlink" Target="#loc_TruckStop"/><Relationship Id="rId2" Type="http://schemas.openxmlformats.org/officeDocument/2006/relationships/hyperlink" Target="#loc_AltFuels"/><Relationship Id="rId1" Type="http://schemas.openxmlformats.org/officeDocument/2006/relationships/chart" Target="../charts/chart1.xml"/><Relationship Id="rId6" Type="http://schemas.openxmlformats.org/officeDocument/2006/relationships/hyperlink" Target="#loc_VMT"/><Relationship Id="rId5" Type="http://schemas.openxmlformats.org/officeDocument/2006/relationships/hyperlink" Target="#loc_FuelEconomy"/><Relationship Id="rId4" Type="http://schemas.openxmlformats.org/officeDocument/2006/relationships/hyperlink" Target="#loc_Biodiesel"/><Relationship Id="rId9" Type="http://schemas.openxmlformats.org/officeDocument/2006/relationships/hyperlink" Target="#loc_OnboardIR"/></Relationships>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5.xml"/></Relationships>
</file>

<file path=xl/drawings/_rels/drawing6.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7.xml"/></Relationships>
</file>

<file path=xl/drawings/_rels/drawing8.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8.xml"/></Relationships>
</file>

<file path=xl/drawings/_rels/drawing9.xml.rels><?xml version="1.0" encoding="UTF-8" standalone="yes"?>
<Relationships xmlns="http://schemas.openxmlformats.org/package/2006/relationships"><Relationship Id="rId8" Type="http://schemas.openxmlformats.org/officeDocument/2006/relationships/hyperlink" Target="#loc_OnboardIR"/><Relationship Id="rId3" Type="http://schemas.openxmlformats.org/officeDocument/2006/relationships/hyperlink" Target="#loc_Biodiesel"/><Relationship Id="rId7" Type="http://schemas.openxmlformats.org/officeDocument/2006/relationships/hyperlink" Target="#loc_IdleTime"/><Relationship Id="rId2" Type="http://schemas.openxmlformats.org/officeDocument/2006/relationships/hyperlink" Target="#loc_HEVs"/><Relationship Id="rId1" Type="http://schemas.openxmlformats.org/officeDocument/2006/relationships/hyperlink" Target="#loc_AltFuels"/><Relationship Id="rId6" Type="http://schemas.openxmlformats.org/officeDocument/2006/relationships/hyperlink" Target="#loc_TruckStop"/><Relationship Id="rId5" Type="http://schemas.openxmlformats.org/officeDocument/2006/relationships/hyperlink" Target="#loc_VMT"/><Relationship Id="rId10" Type="http://schemas.openxmlformats.org/officeDocument/2006/relationships/hyperlink" Target="#loc_summary"/><Relationship Id="rId4" Type="http://schemas.openxmlformats.org/officeDocument/2006/relationships/hyperlink" Target="#loc_FuelEconomy"/><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288924</xdr:colOff>
      <xdr:row>46</xdr:row>
      <xdr:rowOff>9525</xdr:rowOff>
    </xdr:from>
    <xdr:to>
      <xdr:col>9</xdr:col>
      <xdr:colOff>1419224</xdr:colOff>
      <xdr:row>73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0</xdr:colOff>
      <xdr:row>44</xdr:row>
      <xdr:rowOff>0</xdr:rowOff>
    </xdr:from>
    <xdr:ext cx="1409700" cy="640080"/>
    <xdr:sp macro="" textlink="">
      <xdr:nvSpPr>
        <xdr:cNvPr id="11" name="Alternate Process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1466850" y="1480185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3</xdr:col>
      <xdr:colOff>0</xdr:colOff>
      <xdr:row>44</xdr:row>
      <xdr:rowOff>0</xdr:rowOff>
    </xdr:from>
    <xdr:ext cx="1409700" cy="640080"/>
    <xdr:sp macro="" textlink="">
      <xdr:nvSpPr>
        <xdr:cNvPr id="12" name="Alternate Process 1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943225" y="1480185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4</xdr:col>
      <xdr:colOff>0</xdr:colOff>
      <xdr:row>44</xdr:row>
      <xdr:rowOff>0</xdr:rowOff>
    </xdr:from>
    <xdr:ext cx="1409700" cy="640080"/>
    <xdr:sp macro="" textlink="">
      <xdr:nvSpPr>
        <xdr:cNvPr id="13" name="Alternate Process 12">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419600" y="1480185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5</xdr:col>
      <xdr:colOff>0</xdr:colOff>
      <xdr:row>44</xdr:row>
      <xdr:rowOff>0</xdr:rowOff>
    </xdr:from>
    <xdr:ext cx="1409700" cy="640080"/>
    <xdr:sp macro="" textlink="">
      <xdr:nvSpPr>
        <xdr:cNvPr id="14" name="Alternate Process 13">
          <a:hlinkClick xmlns:r="http://schemas.openxmlformats.org/officeDocument/2006/relationships" r:id="rId5"/>
          <a:extLst>
            <a:ext uri="{FF2B5EF4-FFF2-40B4-BE49-F238E27FC236}">
              <a16:creationId xmlns:a16="http://schemas.microsoft.com/office/drawing/2014/main" id="{00000000-0008-0000-0000-00000E000000}"/>
            </a:ext>
          </a:extLst>
        </xdr:cNvPr>
        <xdr:cNvSpPr/>
      </xdr:nvSpPr>
      <xdr:spPr>
        <a:xfrm>
          <a:off x="5895975" y="1480185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6</xdr:col>
      <xdr:colOff>0</xdr:colOff>
      <xdr:row>44</xdr:row>
      <xdr:rowOff>0</xdr:rowOff>
    </xdr:from>
    <xdr:ext cx="1409700" cy="640080"/>
    <xdr:sp macro="" textlink="">
      <xdr:nvSpPr>
        <xdr:cNvPr id="15" name="Alternate Process 14">
          <a:hlinkClick xmlns:r="http://schemas.openxmlformats.org/officeDocument/2006/relationships" r:id="rId6"/>
          <a:extLst>
            <a:ext uri="{FF2B5EF4-FFF2-40B4-BE49-F238E27FC236}">
              <a16:creationId xmlns:a16="http://schemas.microsoft.com/office/drawing/2014/main" id="{00000000-0008-0000-0000-00000F000000}"/>
            </a:ext>
          </a:extLst>
        </xdr:cNvPr>
        <xdr:cNvSpPr/>
      </xdr:nvSpPr>
      <xdr:spPr>
        <a:xfrm>
          <a:off x="7372350" y="1480185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7</xdr:col>
      <xdr:colOff>0</xdr:colOff>
      <xdr:row>44</xdr:row>
      <xdr:rowOff>0</xdr:rowOff>
    </xdr:from>
    <xdr:ext cx="1409700" cy="640080"/>
    <xdr:sp macro="" textlink="">
      <xdr:nvSpPr>
        <xdr:cNvPr id="16" name="Alternate Process 15">
          <a:hlinkClick xmlns:r="http://schemas.openxmlformats.org/officeDocument/2006/relationships" r:id="rId7"/>
          <a:extLst>
            <a:ext uri="{FF2B5EF4-FFF2-40B4-BE49-F238E27FC236}">
              <a16:creationId xmlns:a16="http://schemas.microsoft.com/office/drawing/2014/main" id="{00000000-0008-0000-0000-000010000000}"/>
            </a:ext>
          </a:extLst>
        </xdr:cNvPr>
        <xdr:cNvSpPr/>
      </xdr:nvSpPr>
      <xdr:spPr>
        <a:xfrm>
          <a:off x="8848725" y="1480185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8</xdr:col>
      <xdr:colOff>0</xdr:colOff>
      <xdr:row>44</xdr:row>
      <xdr:rowOff>0</xdr:rowOff>
    </xdr:from>
    <xdr:ext cx="1409700" cy="640080"/>
    <xdr:sp macro="" textlink="">
      <xdr:nvSpPr>
        <xdr:cNvPr id="17" name="Alternate Process 16">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10325100" y="1480185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9</xdr:col>
      <xdr:colOff>0</xdr:colOff>
      <xdr:row>44</xdr:row>
      <xdr:rowOff>0</xdr:rowOff>
    </xdr:from>
    <xdr:ext cx="1409700" cy="640080"/>
    <xdr:sp macro="" textlink="">
      <xdr:nvSpPr>
        <xdr:cNvPr id="18" name="Alternate Process 17">
          <a:hlinkClick xmlns:r="http://schemas.openxmlformats.org/officeDocument/2006/relationships" r:id="rId9"/>
          <a:extLst>
            <a:ext uri="{FF2B5EF4-FFF2-40B4-BE49-F238E27FC236}">
              <a16:creationId xmlns:a16="http://schemas.microsoft.com/office/drawing/2014/main" id="{00000000-0008-0000-0000-000012000000}"/>
            </a:ext>
          </a:extLst>
        </xdr:cNvPr>
        <xdr:cNvSpPr/>
      </xdr:nvSpPr>
      <xdr:spPr>
        <a:xfrm>
          <a:off x="11801475" y="1480185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9</xdr:col>
      <xdr:colOff>28575</xdr:colOff>
      <xdr:row>17</xdr:row>
      <xdr:rowOff>113417</xdr:rowOff>
    </xdr:from>
    <xdr:to>
      <xdr:col>11</xdr:col>
      <xdr:colOff>1629930</xdr:colOff>
      <xdr:row>24</xdr:row>
      <xdr:rowOff>87863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3087350" y="4533017"/>
          <a:ext cx="7362825" cy="1688946"/>
        </a:xfrm>
        <a:prstGeom prst="rect">
          <a:avLst/>
        </a:prstGeom>
      </xdr:spPr>
    </xdr:pic>
    <xdr:clientData/>
  </xdr:twoCellAnchor>
  <xdr:twoCellAnchor editAs="oneCell">
    <xdr:from>
      <xdr:col>8</xdr:col>
      <xdr:colOff>1158875</xdr:colOff>
      <xdr:row>5</xdr:row>
      <xdr:rowOff>119670</xdr:rowOff>
    </xdr:from>
    <xdr:to>
      <xdr:col>10</xdr:col>
      <xdr:colOff>1064605</xdr:colOff>
      <xdr:row>14</xdr:row>
      <xdr:rowOff>38101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055600" y="1129320"/>
          <a:ext cx="5671530" cy="2671156"/>
        </a:xfrm>
        <a:prstGeom prst="rect">
          <a:avLst/>
        </a:prstGeom>
      </xdr:spPr>
    </xdr:pic>
    <xdr:clientData/>
  </xdr:twoCellAnchor>
  <xdr:twoCellAnchor editAs="oneCell">
    <xdr:from>
      <xdr:col>17</xdr:col>
      <xdr:colOff>435882</xdr:colOff>
      <xdr:row>62</xdr:row>
      <xdr:rowOff>0</xdr:rowOff>
    </xdr:from>
    <xdr:to>
      <xdr:col>23</xdr:col>
      <xdr:colOff>892366</xdr:colOff>
      <xdr:row>84</xdr:row>
      <xdr:rowOff>232064</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34128982" y="20605750"/>
          <a:ext cx="7242902" cy="5918200"/>
        </a:xfrm>
        <a:prstGeom prst="rect">
          <a:avLst/>
        </a:prstGeom>
      </xdr:spPr>
    </xdr:pic>
    <xdr:clientData/>
  </xdr:twoCellAnchor>
  <xdr:twoCellAnchor editAs="oneCell">
    <xdr:from>
      <xdr:col>19</xdr:col>
      <xdr:colOff>1739899</xdr:colOff>
      <xdr:row>53</xdr:row>
      <xdr:rowOff>163608</xdr:rowOff>
    </xdr:from>
    <xdr:to>
      <xdr:col>29</xdr:col>
      <xdr:colOff>490681</xdr:colOff>
      <xdr:row>60</xdr:row>
      <xdr:rowOff>126998</xdr:rowOff>
    </xdr:to>
    <xdr:pic>
      <xdr:nvPicPr>
        <xdr:cNvPr id="2" name="Picture 2" descr="Image">
          <a:extLst>
            <a:ext uri="{FF2B5EF4-FFF2-40B4-BE49-F238E27FC236}">
              <a16:creationId xmlns:a16="http://schemas.microsoft.com/office/drawing/2014/main" id="{F9255AFF-13A4-10D8-DEAC-AE57A2F26E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448172" y="13579426"/>
          <a:ext cx="10711873" cy="1649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8" name="Alternate Process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1466850" y="9182100"/>
          <a:ext cx="1409700" cy="640080"/>
        </a:xfrm>
        <a:prstGeom prst="flowChartAlternateProcess">
          <a:avLst/>
        </a:prstGeom>
        <a:solidFill>
          <a:schemeClr val="accent3">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22" name="Alternate Process 21">
          <a:hlinkClick xmlns:r="http://schemas.openxmlformats.org/officeDocument/2006/relationships" r:id="rId2"/>
          <a:extLst>
            <a:ext uri="{FF2B5EF4-FFF2-40B4-BE49-F238E27FC236}">
              <a16:creationId xmlns:a16="http://schemas.microsoft.com/office/drawing/2014/main" id="{00000000-0008-0000-0100-000016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23" name="Alternate Process 22">
          <a:hlinkClick xmlns:r="http://schemas.openxmlformats.org/officeDocument/2006/relationships" r:id="rId3"/>
          <a:extLst>
            <a:ext uri="{FF2B5EF4-FFF2-40B4-BE49-F238E27FC236}">
              <a16:creationId xmlns:a16="http://schemas.microsoft.com/office/drawing/2014/main" id="{00000000-0008-0000-0100-000017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24" name="Alternate Process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25" name="Alternate Process 24">
          <a:hlinkClick xmlns:r="http://schemas.openxmlformats.org/officeDocument/2006/relationships" r:id="rId5"/>
          <a:extLst>
            <a:ext uri="{FF2B5EF4-FFF2-40B4-BE49-F238E27FC236}">
              <a16:creationId xmlns:a16="http://schemas.microsoft.com/office/drawing/2014/main" id="{00000000-0008-0000-0100-000019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26" name="Alternate Process 25">
          <a:hlinkClick xmlns:r="http://schemas.openxmlformats.org/officeDocument/2006/relationships" r:id="rId6"/>
          <a:extLst>
            <a:ext uri="{FF2B5EF4-FFF2-40B4-BE49-F238E27FC236}">
              <a16:creationId xmlns:a16="http://schemas.microsoft.com/office/drawing/2014/main" id="{00000000-0008-0000-0100-00001A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27" name="Alternate Process 26">
          <a:hlinkClick xmlns:r="http://schemas.openxmlformats.org/officeDocument/2006/relationships" r:id="rId7"/>
          <a:extLst>
            <a:ext uri="{FF2B5EF4-FFF2-40B4-BE49-F238E27FC236}">
              <a16:creationId xmlns:a16="http://schemas.microsoft.com/office/drawing/2014/main" id="{00000000-0008-0000-0100-00001B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28" name="Alternate Process 27">
          <a:hlinkClick xmlns:r="http://schemas.openxmlformats.org/officeDocument/2006/relationships" r:id="rId8"/>
          <a:extLst>
            <a:ext uri="{FF2B5EF4-FFF2-40B4-BE49-F238E27FC236}">
              <a16:creationId xmlns:a16="http://schemas.microsoft.com/office/drawing/2014/main" id="{00000000-0008-0000-0100-00001C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13" name="Alternate Process 7">
          <a:hlinkClick xmlns:r="http://schemas.openxmlformats.org/officeDocument/2006/relationships" r:id="rId10"/>
          <a:extLst>
            <a:ext uri="{FF2B5EF4-FFF2-40B4-BE49-F238E27FC236}">
              <a16:creationId xmlns:a16="http://schemas.microsoft.com/office/drawing/2014/main" id="{00000000-0008-0000-0100-00000D000000}"/>
            </a:ext>
          </a:extLst>
        </xdr:cNvPr>
        <xdr:cNvSpPr/>
      </xdr:nvSpPr>
      <xdr:spPr>
        <a:xfrm>
          <a:off x="676275" y="613410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9" name="Alternate Process 18">
          <a:hlinkClick xmlns:r="http://schemas.openxmlformats.org/officeDocument/2006/relationships" r:id="rId1"/>
          <a:extLst>
            <a:ext uri="{FF2B5EF4-FFF2-40B4-BE49-F238E27FC236}">
              <a16:creationId xmlns:a16="http://schemas.microsoft.com/office/drawing/2014/main" id="{00000000-0008-0000-0200-000013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20" name="Alternate Process 19">
          <a:hlinkClick xmlns:r="http://schemas.openxmlformats.org/officeDocument/2006/relationships" r:id="rId2"/>
          <a:extLst>
            <a:ext uri="{FF2B5EF4-FFF2-40B4-BE49-F238E27FC236}">
              <a16:creationId xmlns:a16="http://schemas.microsoft.com/office/drawing/2014/main" id="{00000000-0008-0000-0200-000014000000}"/>
            </a:ext>
          </a:extLst>
        </xdr:cNvPr>
        <xdr:cNvSpPr/>
      </xdr:nvSpPr>
      <xdr:spPr>
        <a:xfrm>
          <a:off x="2943225" y="9182100"/>
          <a:ext cx="1409700" cy="640080"/>
        </a:xfrm>
        <a:prstGeom prst="flowChartAlternateProcess">
          <a:avLst/>
        </a:prstGeom>
        <a:solidFill>
          <a:schemeClr val="accent6">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21" name="Alternate Process 20">
          <a:hlinkClick xmlns:r="http://schemas.openxmlformats.org/officeDocument/2006/relationships" r:id="rId3"/>
          <a:extLst>
            <a:ext uri="{FF2B5EF4-FFF2-40B4-BE49-F238E27FC236}">
              <a16:creationId xmlns:a16="http://schemas.microsoft.com/office/drawing/2014/main" id="{00000000-0008-0000-0200-000015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22" name="Alternate Process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23" name="Alternate Process 22">
          <a:hlinkClick xmlns:r="http://schemas.openxmlformats.org/officeDocument/2006/relationships" r:id="rId5"/>
          <a:extLst>
            <a:ext uri="{FF2B5EF4-FFF2-40B4-BE49-F238E27FC236}">
              <a16:creationId xmlns:a16="http://schemas.microsoft.com/office/drawing/2014/main" id="{00000000-0008-0000-0200-000017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24" name="Alternate Process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25" name="Alternate Process 24">
          <a:hlinkClick xmlns:r="http://schemas.openxmlformats.org/officeDocument/2006/relationships" r:id="rId7"/>
          <a:extLst>
            <a:ext uri="{FF2B5EF4-FFF2-40B4-BE49-F238E27FC236}">
              <a16:creationId xmlns:a16="http://schemas.microsoft.com/office/drawing/2014/main" id="{00000000-0008-0000-0200-000019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26" name="Alternate Process 25">
          <a:hlinkClick xmlns:r="http://schemas.openxmlformats.org/officeDocument/2006/relationships" r:id="rId8"/>
          <a:extLst>
            <a:ext uri="{FF2B5EF4-FFF2-40B4-BE49-F238E27FC236}">
              <a16:creationId xmlns:a16="http://schemas.microsoft.com/office/drawing/2014/main" id="{00000000-0008-0000-0200-00001A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13" name="Alternate Process 7">
          <a:hlinkClick xmlns:r="http://schemas.openxmlformats.org/officeDocument/2006/relationships" r:id="rId10"/>
          <a:extLst>
            <a:ext uri="{FF2B5EF4-FFF2-40B4-BE49-F238E27FC236}">
              <a16:creationId xmlns:a16="http://schemas.microsoft.com/office/drawing/2014/main" id="{00000000-0008-0000-0200-00000D000000}"/>
            </a:ext>
          </a:extLst>
        </xdr:cNvPr>
        <xdr:cNvSpPr/>
      </xdr:nvSpPr>
      <xdr:spPr>
        <a:xfrm>
          <a:off x="676275" y="617220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1" name="Alternate Process 10">
          <a:hlinkClick xmlns:r="http://schemas.openxmlformats.org/officeDocument/2006/relationships" r:id="rId1"/>
          <a:extLst>
            <a:ext uri="{FF2B5EF4-FFF2-40B4-BE49-F238E27FC236}">
              <a16:creationId xmlns:a16="http://schemas.microsoft.com/office/drawing/2014/main" id="{00000000-0008-0000-0300-00000B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12" name="Alternate Process 11">
          <a:hlinkClick xmlns:r="http://schemas.openxmlformats.org/officeDocument/2006/relationships" r:id="rId2"/>
          <a:extLst>
            <a:ext uri="{FF2B5EF4-FFF2-40B4-BE49-F238E27FC236}">
              <a16:creationId xmlns:a16="http://schemas.microsoft.com/office/drawing/2014/main" id="{00000000-0008-0000-0300-00000C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13" name="Alternate Process 12">
          <a:hlinkClick xmlns:r="http://schemas.openxmlformats.org/officeDocument/2006/relationships" r:id="rId3"/>
          <a:extLst>
            <a:ext uri="{FF2B5EF4-FFF2-40B4-BE49-F238E27FC236}">
              <a16:creationId xmlns:a16="http://schemas.microsoft.com/office/drawing/2014/main" id="{00000000-0008-0000-0300-00000D000000}"/>
            </a:ext>
          </a:extLst>
        </xdr:cNvPr>
        <xdr:cNvSpPr/>
      </xdr:nvSpPr>
      <xdr:spPr>
        <a:xfrm>
          <a:off x="4419600" y="9182100"/>
          <a:ext cx="1409700" cy="640080"/>
        </a:xfrm>
        <a:prstGeom prst="flowChartAlternateProcess">
          <a:avLst/>
        </a:prstGeom>
        <a:solidFill>
          <a:schemeClr val="accent4">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14" name="Alternate Process 13">
          <a:hlinkClick xmlns:r="http://schemas.openxmlformats.org/officeDocument/2006/relationships" r:id="rId4"/>
          <a:extLst>
            <a:ext uri="{FF2B5EF4-FFF2-40B4-BE49-F238E27FC236}">
              <a16:creationId xmlns:a16="http://schemas.microsoft.com/office/drawing/2014/main" id="{00000000-0008-0000-0300-00000E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15" name="Alternate Process 14">
          <a:hlinkClick xmlns:r="http://schemas.openxmlformats.org/officeDocument/2006/relationships" r:id="rId5"/>
          <a:extLst>
            <a:ext uri="{FF2B5EF4-FFF2-40B4-BE49-F238E27FC236}">
              <a16:creationId xmlns:a16="http://schemas.microsoft.com/office/drawing/2014/main" id="{00000000-0008-0000-0300-00000F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16" name="Alternate Process 15">
          <a:hlinkClick xmlns:r="http://schemas.openxmlformats.org/officeDocument/2006/relationships" r:id="rId6"/>
          <a:extLst>
            <a:ext uri="{FF2B5EF4-FFF2-40B4-BE49-F238E27FC236}">
              <a16:creationId xmlns:a16="http://schemas.microsoft.com/office/drawing/2014/main" id="{00000000-0008-0000-0300-000010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17" name="Alternate Process 16">
          <a:hlinkClick xmlns:r="http://schemas.openxmlformats.org/officeDocument/2006/relationships" r:id="rId7"/>
          <a:extLst>
            <a:ext uri="{FF2B5EF4-FFF2-40B4-BE49-F238E27FC236}">
              <a16:creationId xmlns:a16="http://schemas.microsoft.com/office/drawing/2014/main" id="{00000000-0008-0000-0300-000011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18" name="Alternate Process 17">
          <a:hlinkClick xmlns:r="http://schemas.openxmlformats.org/officeDocument/2006/relationships" r:id="rId8"/>
          <a:extLst>
            <a:ext uri="{FF2B5EF4-FFF2-40B4-BE49-F238E27FC236}">
              <a16:creationId xmlns:a16="http://schemas.microsoft.com/office/drawing/2014/main" id="{00000000-0008-0000-0300-000012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20" name="Chart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21" name="Alternate Process 7">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676275" y="617220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1" name="Alternate Process 10">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12" name="Alternate Process 11">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13" name="Alternate Process 12">
          <a:hlinkClick xmlns:r="http://schemas.openxmlformats.org/officeDocument/2006/relationships" r:id="rId3"/>
          <a:extLst>
            <a:ext uri="{FF2B5EF4-FFF2-40B4-BE49-F238E27FC236}">
              <a16:creationId xmlns:a16="http://schemas.microsoft.com/office/drawing/2014/main" id="{00000000-0008-0000-0400-00000D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14" name="Alternate Process 13">
          <a:hlinkClick xmlns:r="http://schemas.openxmlformats.org/officeDocument/2006/relationships" r:id="rId4"/>
          <a:extLst>
            <a:ext uri="{FF2B5EF4-FFF2-40B4-BE49-F238E27FC236}">
              <a16:creationId xmlns:a16="http://schemas.microsoft.com/office/drawing/2014/main" id="{00000000-0008-0000-0400-00000E000000}"/>
            </a:ext>
          </a:extLst>
        </xdr:cNvPr>
        <xdr:cNvSpPr/>
      </xdr:nvSpPr>
      <xdr:spPr>
        <a:xfrm>
          <a:off x="5895975" y="9182100"/>
          <a:ext cx="1409700" cy="640080"/>
        </a:xfrm>
        <a:prstGeom prst="flowChartAlternateProcess">
          <a:avLst/>
        </a:prstGeom>
        <a:solidFill>
          <a:schemeClr val="accent1">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15" name="Alternate Process 14">
          <a:hlinkClick xmlns:r="http://schemas.openxmlformats.org/officeDocument/2006/relationships" r:id="rId5"/>
          <a:extLst>
            <a:ext uri="{FF2B5EF4-FFF2-40B4-BE49-F238E27FC236}">
              <a16:creationId xmlns:a16="http://schemas.microsoft.com/office/drawing/2014/main" id="{00000000-0008-0000-0400-00000F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16" name="Alternate Process 15">
          <a:hlinkClick xmlns:r="http://schemas.openxmlformats.org/officeDocument/2006/relationships" r:id="rId6"/>
          <a:extLst>
            <a:ext uri="{FF2B5EF4-FFF2-40B4-BE49-F238E27FC236}">
              <a16:creationId xmlns:a16="http://schemas.microsoft.com/office/drawing/2014/main" id="{00000000-0008-0000-0400-000010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17" name="Alternate Process 16">
          <a:hlinkClick xmlns:r="http://schemas.openxmlformats.org/officeDocument/2006/relationships" r:id="rId7"/>
          <a:extLst>
            <a:ext uri="{FF2B5EF4-FFF2-40B4-BE49-F238E27FC236}">
              <a16:creationId xmlns:a16="http://schemas.microsoft.com/office/drawing/2014/main" id="{00000000-0008-0000-0400-000011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18" name="Alternate Process 17">
          <a:hlinkClick xmlns:r="http://schemas.openxmlformats.org/officeDocument/2006/relationships" r:id="rId8"/>
          <a:extLst>
            <a:ext uri="{FF2B5EF4-FFF2-40B4-BE49-F238E27FC236}">
              <a16:creationId xmlns:a16="http://schemas.microsoft.com/office/drawing/2014/main" id="{00000000-0008-0000-0400-000012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21" name="Alternate Process 7">
          <a:hlinkClick xmlns:r="http://schemas.openxmlformats.org/officeDocument/2006/relationships" r:id="rId10"/>
          <a:extLst>
            <a:ext uri="{FF2B5EF4-FFF2-40B4-BE49-F238E27FC236}">
              <a16:creationId xmlns:a16="http://schemas.microsoft.com/office/drawing/2014/main" id="{00000000-0008-0000-0400-000015000000}"/>
            </a:ext>
          </a:extLst>
        </xdr:cNvPr>
        <xdr:cNvSpPr/>
      </xdr:nvSpPr>
      <xdr:spPr>
        <a:xfrm>
          <a:off x="1466850" y="786765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1" name="Alternate Process 10">
          <a:hlinkClick xmlns:r="http://schemas.openxmlformats.org/officeDocument/2006/relationships" r:id="rId1"/>
          <a:extLst>
            <a:ext uri="{FF2B5EF4-FFF2-40B4-BE49-F238E27FC236}">
              <a16:creationId xmlns:a16="http://schemas.microsoft.com/office/drawing/2014/main" id="{00000000-0008-0000-0500-00000B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12" name="Alternate Process 11">
          <a:hlinkClick xmlns:r="http://schemas.openxmlformats.org/officeDocument/2006/relationships" r:id="rId2"/>
          <a:extLst>
            <a:ext uri="{FF2B5EF4-FFF2-40B4-BE49-F238E27FC236}">
              <a16:creationId xmlns:a16="http://schemas.microsoft.com/office/drawing/2014/main" id="{00000000-0008-0000-0500-00000C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13" name="Alternate Process 12">
          <a:hlinkClick xmlns:r="http://schemas.openxmlformats.org/officeDocument/2006/relationships" r:id="rId3"/>
          <a:extLst>
            <a:ext uri="{FF2B5EF4-FFF2-40B4-BE49-F238E27FC236}">
              <a16:creationId xmlns:a16="http://schemas.microsoft.com/office/drawing/2014/main" id="{00000000-0008-0000-0500-00000D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14" name="Alternate Process 13">
          <a:hlinkClick xmlns:r="http://schemas.openxmlformats.org/officeDocument/2006/relationships" r:id="rId4"/>
          <a:extLst>
            <a:ext uri="{FF2B5EF4-FFF2-40B4-BE49-F238E27FC236}">
              <a16:creationId xmlns:a16="http://schemas.microsoft.com/office/drawing/2014/main" id="{00000000-0008-0000-0500-00000E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15" name="Alternate Process 14">
          <a:hlinkClick xmlns:r="http://schemas.openxmlformats.org/officeDocument/2006/relationships" r:id="rId5"/>
          <a:extLst>
            <a:ext uri="{FF2B5EF4-FFF2-40B4-BE49-F238E27FC236}">
              <a16:creationId xmlns:a16="http://schemas.microsoft.com/office/drawing/2014/main" id="{00000000-0008-0000-0500-00000F000000}"/>
            </a:ext>
          </a:extLst>
        </xdr:cNvPr>
        <xdr:cNvSpPr/>
      </xdr:nvSpPr>
      <xdr:spPr>
        <a:xfrm>
          <a:off x="7372350" y="9182100"/>
          <a:ext cx="1409700" cy="640080"/>
        </a:xfrm>
        <a:prstGeom prst="flowChartAlternateProcess">
          <a:avLst/>
        </a:prstGeom>
        <a:solidFill>
          <a:schemeClr val="accent2">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16" name="Alternate Process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17" name="Alternate Process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18" name="Alternate Process 17">
          <a:hlinkClick xmlns:r="http://schemas.openxmlformats.org/officeDocument/2006/relationships" r:id="rId8"/>
          <a:extLst>
            <a:ext uri="{FF2B5EF4-FFF2-40B4-BE49-F238E27FC236}">
              <a16:creationId xmlns:a16="http://schemas.microsoft.com/office/drawing/2014/main" id="{00000000-0008-0000-0500-000012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20" name="Chart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21" name="Alternate Process 7">
          <a:hlinkClick xmlns:r="http://schemas.openxmlformats.org/officeDocument/2006/relationships" r:id="rId10"/>
          <a:extLst>
            <a:ext uri="{FF2B5EF4-FFF2-40B4-BE49-F238E27FC236}">
              <a16:creationId xmlns:a16="http://schemas.microsoft.com/office/drawing/2014/main" id="{00000000-0008-0000-0500-000015000000}"/>
            </a:ext>
          </a:extLst>
        </xdr:cNvPr>
        <xdr:cNvSpPr/>
      </xdr:nvSpPr>
      <xdr:spPr>
        <a:xfrm>
          <a:off x="1466850" y="786765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1" name="Alternate Process 10">
          <a:hlinkClick xmlns:r="http://schemas.openxmlformats.org/officeDocument/2006/relationships" r:id="rId1"/>
          <a:extLst>
            <a:ext uri="{FF2B5EF4-FFF2-40B4-BE49-F238E27FC236}">
              <a16:creationId xmlns:a16="http://schemas.microsoft.com/office/drawing/2014/main" id="{00000000-0008-0000-0600-00000B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12" name="Alternate Process 11">
          <a:hlinkClick xmlns:r="http://schemas.openxmlformats.org/officeDocument/2006/relationships" r:id="rId2"/>
          <a:extLst>
            <a:ext uri="{FF2B5EF4-FFF2-40B4-BE49-F238E27FC236}">
              <a16:creationId xmlns:a16="http://schemas.microsoft.com/office/drawing/2014/main" id="{00000000-0008-0000-0600-00000C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13" name="Alternate Process 12">
          <a:hlinkClick xmlns:r="http://schemas.openxmlformats.org/officeDocument/2006/relationships" r:id="rId3"/>
          <a:extLst>
            <a:ext uri="{FF2B5EF4-FFF2-40B4-BE49-F238E27FC236}">
              <a16:creationId xmlns:a16="http://schemas.microsoft.com/office/drawing/2014/main" id="{00000000-0008-0000-0600-00000D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14" name="Alternate Process 13">
          <a:hlinkClick xmlns:r="http://schemas.openxmlformats.org/officeDocument/2006/relationships" r:id="rId4"/>
          <a:extLst>
            <a:ext uri="{FF2B5EF4-FFF2-40B4-BE49-F238E27FC236}">
              <a16:creationId xmlns:a16="http://schemas.microsoft.com/office/drawing/2014/main" id="{00000000-0008-0000-0600-00000E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15" name="Alternate Process 14">
          <a:hlinkClick xmlns:r="http://schemas.openxmlformats.org/officeDocument/2006/relationships" r:id="rId5"/>
          <a:extLst>
            <a:ext uri="{FF2B5EF4-FFF2-40B4-BE49-F238E27FC236}">
              <a16:creationId xmlns:a16="http://schemas.microsoft.com/office/drawing/2014/main" id="{00000000-0008-0000-0600-00000F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16" name="Alternate Process 15">
          <a:hlinkClick xmlns:r="http://schemas.openxmlformats.org/officeDocument/2006/relationships" r:id="rId6"/>
          <a:extLst>
            <a:ext uri="{FF2B5EF4-FFF2-40B4-BE49-F238E27FC236}">
              <a16:creationId xmlns:a16="http://schemas.microsoft.com/office/drawing/2014/main" id="{00000000-0008-0000-0600-000010000000}"/>
            </a:ext>
          </a:extLst>
        </xdr:cNvPr>
        <xdr:cNvSpPr/>
      </xdr:nvSpPr>
      <xdr:spPr>
        <a:xfrm>
          <a:off x="8848725" y="9182100"/>
          <a:ext cx="1409700" cy="640080"/>
        </a:xfrm>
        <a:prstGeom prst="flowChartAlternateProcess">
          <a:avLst/>
        </a:prstGeom>
        <a:solidFill>
          <a:schemeClr val="tx2">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17" name="Alternate Process 16">
          <a:hlinkClick xmlns:r="http://schemas.openxmlformats.org/officeDocument/2006/relationships" r:id="rId7"/>
          <a:extLst>
            <a:ext uri="{FF2B5EF4-FFF2-40B4-BE49-F238E27FC236}">
              <a16:creationId xmlns:a16="http://schemas.microsoft.com/office/drawing/2014/main" id="{00000000-0008-0000-0600-000011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18" name="Alternate Process 17">
          <a:hlinkClick xmlns:r="http://schemas.openxmlformats.org/officeDocument/2006/relationships" r:id="rId8"/>
          <a:extLst>
            <a:ext uri="{FF2B5EF4-FFF2-40B4-BE49-F238E27FC236}">
              <a16:creationId xmlns:a16="http://schemas.microsoft.com/office/drawing/2014/main" id="{00000000-0008-0000-0600-000012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21" name="Alternate Process 7">
          <a:hlinkClick xmlns:r="http://schemas.openxmlformats.org/officeDocument/2006/relationships" r:id="rId10"/>
          <a:extLst>
            <a:ext uri="{FF2B5EF4-FFF2-40B4-BE49-F238E27FC236}">
              <a16:creationId xmlns:a16="http://schemas.microsoft.com/office/drawing/2014/main" id="{00000000-0008-0000-0600-000015000000}"/>
            </a:ext>
          </a:extLst>
        </xdr:cNvPr>
        <xdr:cNvSpPr/>
      </xdr:nvSpPr>
      <xdr:spPr>
        <a:xfrm>
          <a:off x="1466850" y="617220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1" name="Alternate Process 10">
          <a:hlinkClick xmlns:r="http://schemas.openxmlformats.org/officeDocument/2006/relationships" r:id="rId1"/>
          <a:extLst>
            <a:ext uri="{FF2B5EF4-FFF2-40B4-BE49-F238E27FC236}">
              <a16:creationId xmlns:a16="http://schemas.microsoft.com/office/drawing/2014/main" id="{00000000-0008-0000-0700-00000B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12" name="Alternate Process 11">
          <a:hlinkClick xmlns:r="http://schemas.openxmlformats.org/officeDocument/2006/relationships" r:id="rId2"/>
          <a:extLst>
            <a:ext uri="{FF2B5EF4-FFF2-40B4-BE49-F238E27FC236}">
              <a16:creationId xmlns:a16="http://schemas.microsoft.com/office/drawing/2014/main" id="{00000000-0008-0000-0700-00000C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13" name="Alternate Process 12">
          <a:hlinkClick xmlns:r="http://schemas.openxmlformats.org/officeDocument/2006/relationships" r:id="rId3"/>
          <a:extLst>
            <a:ext uri="{FF2B5EF4-FFF2-40B4-BE49-F238E27FC236}">
              <a16:creationId xmlns:a16="http://schemas.microsoft.com/office/drawing/2014/main" id="{00000000-0008-0000-0700-00000D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14" name="Alternate Process 13">
          <a:hlinkClick xmlns:r="http://schemas.openxmlformats.org/officeDocument/2006/relationships" r:id="rId4"/>
          <a:extLst>
            <a:ext uri="{FF2B5EF4-FFF2-40B4-BE49-F238E27FC236}">
              <a16:creationId xmlns:a16="http://schemas.microsoft.com/office/drawing/2014/main" id="{00000000-0008-0000-0700-00000E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15" name="Alternate Process 14">
          <a:hlinkClick xmlns:r="http://schemas.openxmlformats.org/officeDocument/2006/relationships" r:id="rId5"/>
          <a:extLst>
            <a:ext uri="{FF2B5EF4-FFF2-40B4-BE49-F238E27FC236}">
              <a16:creationId xmlns:a16="http://schemas.microsoft.com/office/drawing/2014/main" id="{00000000-0008-0000-0700-00000F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16" name="Alternate Process 15">
          <a:hlinkClick xmlns:r="http://schemas.openxmlformats.org/officeDocument/2006/relationships" r:id="rId6"/>
          <a:extLst>
            <a:ext uri="{FF2B5EF4-FFF2-40B4-BE49-F238E27FC236}">
              <a16:creationId xmlns:a16="http://schemas.microsoft.com/office/drawing/2014/main" id="{00000000-0008-0000-0700-000010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17" name="Alternate Process 16">
          <a:hlinkClick xmlns:r="http://schemas.openxmlformats.org/officeDocument/2006/relationships" r:id="rId7"/>
          <a:extLst>
            <a:ext uri="{FF2B5EF4-FFF2-40B4-BE49-F238E27FC236}">
              <a16:creationId xmlns:a16="http://schemas.microsoft.com/office/drawing/2014/main" id="{00000000-0008-0000-0700-000011000000}"/>
            </a:ext>
          </a:extLst>
        </xdr:cNvPr>
        <xdr:cNvSpPr/>
      </xdr:nvSpPr>
      <xdr:spPr>
        <a:xfrm>
          <a:off x="10325100" y="9182100"/>
          <a:ext cx="1409700" cy="640080"/>
        </a:xfrm>
        <a:prstGeom prst="flowChartAlternateProcess">
          <a:avLst/>
        </a:prstGeom>
        <a:solidFill>
          <a:schemeClr val="bg2">
            <a:lumMod val="9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18" name="Alternate Process 17">
          <a:hlinkClick xmlns:r="http://schemas.openxmlformats.org/officeDocument/2006/relationships" r:id="rId8"/>
          <a:extLst>
            <a:ext uri="{FF2B5EF4-FFF2-40B4-BE49-F238E27FC236}">
              <a16:creationId xmlns:a16="http://schemas.microsoft.com/office/drawing/2014/main" id="{00000000-0008-0000-0700-000012000000}"/>
            </a:ext>
          </a:extLst>
        </xdr:cNvPr>
        <xdr:cNvSpPr/>
      </xdr:nvSpPr>
      <xdr:spPr>
        <a:xfrm>
          <a:off x="11801475" y="9182100"/>
          <a:ext cx="1409700" cy="640080"/>
        </a:xfrm>
        <a:prstGeom prst="flowChartAlternateProcess">
          <a:avLst/>
        </a:prstGeom>
        <a:solidFill>
          <a:schemeClr val="accent5">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21" name="Alternate Process 7">
          <a:hlinkClick xmlns:r="http://schemas.openxmlformats.org/officeDocument/2006/relationships" r:id="rId10"/>
          <a:extLst>
            <a:ext uri="{FF2B5EF4-FFF2-40B4-BE49-F238E27FC236}">
              <a16:creationId xmlns:a16="http://schemas.microsoft.com/office/drawing/2014/main" id="{00000000-0008-0000-0700-000015000000}"/>
            </a:ext>
          </a:extLst>
        </xdr:cNvPr>
        <xdr:cNvSpPr/>
      </xdr:nvSpPr>
      <xdr:spPr>
        <a:xfrm>
          <a:off x="1466850" y="617220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0</xdr:rowOff>
    </xdr:from>
    <xdr:ext cx="1409700" cy="640080"/>
    <xdr:sp macro="" textlink="">
      <xdr:nvSpPr>
        <xdr:cNvPr id="11" name="Alternate Process 10">
          <a:hlinkClick xmlns:r="http://schemas.openxmlformats.org/officeDocument/2006/relationships" r:id="rId1"/>
          <a:extLst>
            <a:ext uri="{FF2B5EF4-FFF2-40B4-BE49-F238E27FC236}">
              <a16:creationId xmlns:a16="http://schemas.microsoft.com/office/drawing/2014/main" id="{00000000-0008-0000-0800-00000B000000}"/>
            </a:ext>
          </a:extLst>
        </xdr:cNvPr>
        <xdr:cNvSpPr/>
      </xdr:nvSpPr>
      <xdr:spPr>
        <a:xfrm>
          <a:off x="1466850" y="9182100"/>
          <a:ext cx="1409700" cy="640080"/>
        </a:xfrm>
        <a:prstGeom prst="flowChartAlternateProcess">
          <a:avLst/>
        </a:prstGeom>
        <a:solidFill>
          <a:schemeClr val="accent3">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Alternative</a:t>
          </a:r>
          <a:r>
            <a:rPr lang="en-US" sz="1400" baseline="0">
              <a:solidFill>
                <a:schemeClr val="tx1"/>
              </a:solidFill>
            </a:rPr>
            <a:t> Fuels</a:t>
          </a:r>
        </a:p>
      </xdr:txBody>
    </xdr:sp>
    <xdr:clientData/>
  </xdr:oneCellAnchor>
  <xdr:oneCellAnchor>
    <xdr:from>
      <xdr:col>2</xdr:col>
      <xdr:colOff>0</xdr:colOff>
      <xdr:row>31</xdr:row>
      <xdr:rowOff>0</xdr:rowOff>
    </xdr:from>
    <xdr:ext cx="1409700" cy="640080"/>
    <xdr:sp macro="" textlink="">
      <xdr:nvSpPr>
        <xdr:cNvPr id="12" name="Alternate Process 11">
          <a:hlinkClick xmlns:r="http://schemas.openxmlformats.org/officeDocument/2006/relationships" r:id="rId2"/>
          <a:extLst>
            <a:ext uri="{FF2B5EF4-FFF2-40B4-BE49-F238E27FC236}">
              <a16:creationId xmlns:a16="http://schemas.microsoft.com/office/drawing/2014/main" id="{00000000-0008-0000-0800-00000C000000}"/>
            </a:ext>
          </a:extLst>
        </xdr:cNvPr>
        <xdr:cNvSpPr/>
      </xdr:nvSpPr>
      <xdr:spPr>
        <a:xfrm>
          <a:off x="2943225" y="9182100"/>
          <a:ext cx="1409700" cy="640080"/>
        </a:xfrm>
        <a:prstGeom prst="flowChartAlternateProcess">
          <a:avLst/>
        </a:prstGeom>
        <a:solidFill>
          <a:schemeClr val="accent6">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PHEVs</a:t>
          </a:r>
        </a:p>
      </xdr:txBody>
    </xdr:sp>
    <xdr:clientData/>
  </xdr:oneCellAnchor>
  <xdr:oneCellAnchor>
    <xdr:from>
      <xdr:col>3</xdr:col>
      <xdr:colOff>0</xdr:colOff>
      <xdr:row>31</xdr:row>
      <xdr:rowOff>0</xdr:rowOff>
    </xdr:from>
    <xdr:ext cx="1409700" cy="640080"/>
    <xdr:sp macro="" textlink="">
      <xdr:nvSpPr>
        <xdr:cNvPr id="13" name="Alternate Process 12">
          <a:hlinkClick xmlns:r="http://schemas.openxmlformats.org/officeDocument/2006/relationships" r:id="rId3"/>
          <a:extLst>
            <a:ext uri="{FF2B5EF4-FFF2-40B4-BE49-F238E27FC236}">
              <a16:creationId xmlns:a16="http://schemas.microsoft.com/office/drawing/2014/main" id="{00000000-0008-0000-0800-00000D000000}"/>
            </a:ext>
          </a:extLst>
        </xdr:cNvPr>
        <xdr:cNvSpPr/>
      </xdr:nvSpPr>
      <xdr:spPr>
        <a:xfrm>
          <a:off x="4419600" y="9182100"/>
          <a:ext cx="1409700" cy="640080"/>
        </a:xfrm>
        <a:prstGeom prst="flowChartAlternateProcess">
          <a:avLst/>
        </a:prstGeom>
        <a:solidFill>
          <a:schemeClr val="accent4">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Biodiesel Blends</a:t>
          </a:r>
        </a:p>
      </xdr:txBody>
    </xdr:sp>
    <xdr:clientData/>
  </xdr:oneCellAnchor>
  <xdr:oneCellAnchor>
    <xdr:from>
      <xdr:col>4</xdr:col>
      <xdr:colOff>0</xdr:colOff>
      <xdr:row>31</xdr:row>
      <xdr:rowOff>0</xdr:rowOff>
    </xdr:from>
    <xdr:ext cx="1409700" cy="640080"/>
    <xdr:sp macro="" textlink="">
      <xdr:nvSpPr>
        <xdr:cNvPr id="14" name="Alternate Process 13">
          <a:hlinkClick xmlns:r="http://schemas.openxmlformats.org/officeDocument/2006/relationships" r:id="rId4"/>
          <a:extLst>
            <a:ext uri="{FF2B5EF4-FFF2-40B4-BE49-F238E27FC236}">
              <a16:creationId xmlns:a16="http://schemas.microsoft.com/office/drawing/2014/main" id="{00000000-0008-0000-0800-00000E000000}"/>
            </a:ext>
          </a:extLst>
        </xdr:cNvPr>
        <xdr:cNvSpPr/>
      </xdr:nvSpPr>
      <xdr:spPr>
        <a:xfrm>
          <a:off x="5895975" y="9182100"/>
          <a:ext cx="1409700" cy="640080"/>
        </a:xfrm>
        <a:prstGeom prst="flowChartAlternateProcess">
          <a:avLst/>
        </a:prstGeom>
        <a:solidFill>
          <a:schemeClr val="accent1">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Fuel Economy</a:t>
          </a:r>
        </a:p>
      </xdr:txBody>
    </xdr:sp>
    <xdr:clientData/>
  </xdr:oneCellAnchor>
  <xdr:oneCellAnchor>
    <xdr:from>
      <xdr:col>5</xdr:col>
      <xdr:colOff>0</xdr:colOff>
      <xdr:row>31</xdr:row>
      <xdr:rowOff>0</xdr:rowOff>
    </xdr:from>
    <xdr:ext cx="1409700" cy="640080"/>
    <xdr:sp macro="" textlink="">
      <xdr:nvSpPr>
        <xdr:cNvPr id="15" name="Alternate Process 14">
          <a:hlinkClick xmlns:r="http://schemas.openxmlformats.org/officeDocument/2006/relationships" r:id="rId5"/>
          <a:extLst>
            <a:ext uri="{FF2B5EF4-FFF2-40B4-BE49-F238E27FC236}">
              <a16:creationId xmlns:a16="http://schemas.microsoft.com/office/drawing/2014/main" id="{00000000-0008-0000-0800-00000F000000}"/>
            </a:ext>
          </a:extLst>
        </xdr:cNvPr>
        <xdr:cNvSpPr/>
      </xdr:nvSpPr>
      <xdr:spPr>
        <a:xfrm>
          <a:off x="7372350" y="9182100"/>
          <a:ext cx="1409700" cy="640080"/>
        </a:xfrm>
        <a:prstGeom prst="flowChartAlternateProcess">
          <a:avLst/>
        </a:prstGeom>
        <a:solidFill>
          <a:schemeClr val="accent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VMT Reduction</a:t>
          </a:r>
        </a:p>
      </xdr:txBody>
    </xdr:sp>
    <xdr:clientData/>
  </xdr:oneCellAnchor>
  <xdr:oneCellAnchor>
    <xdr:from>
      <xdr:col>6</xdr:col>
      <xdr:colOff>0</xdr:colOff>
      <xdr:row>31</xdr:row>
      <xdr:rowOff>0</xdr:rowOff>
    </xdr:from>
    <xdr:ext cx="1409700" cy="640080"/>
    <xdr:sp macro="" textlink="">
      <xdr:nvSpPr>
        <xdr:cNvPr id="16" name="Alternate Process 15">
          <a:hlinkClick xmlns:r="http://schemas.openxmlformats.org/officeDocument/2006/relationships" r:id="rId6"/>
          <a:extLst>
            <a:ext uri="{FF2B5EF4-FFF2-40B4-BE49-F238E27FC236}">
              <a16:creationId xmlns:a16="http://schemas.microsoft.com/office/drawing/2014/main" id="{00000000-0008-0000-0800-000010000000}"/>
            </a:ext>
          </a:extLst>
        </xdr:cNvPr>
        <xdr:cNvSpPr/>
      </xdr:nvSpPr>
      <xdr:spPr>
        <a:xfrm>
          <a:off x="8848725" y="9182100"/>
          <a:ext cx="1409700" cy="640080"/>
        </a:xfrm>
        <a:prstGeom prst="flowChartAlternateProcess">
          <a:avLst/>
        </a:prstGeom>
        <a:solidFill>
          <a:schemeClr val="tx2">
            <a:lumMod val="60000"/>
            <a:lumOff val="4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Truck Stop Electrification</a:t>
          </a:r>
        </a:p>
      </xdr:txBody>
    </xdr:sp>
    <xdr:clientData/>
  </xdr:oneCellAnchor>
  <xdr:oneCellAnchor>
    <xdr:from>
      <xdr:col>7</xdr:col>
      <xdr:colOff>0</xdr:colOff>
      <xdr:row>31</xdr:row>
      <xdr:rowOff>0</xdr:rowOff>
    </xdr:from>
    <xdr:ext cx="1409700" cy="640080"/>
    <xdr:sp macro="" textlink="">
      <xdr:nvSpPr>
        <xdr:cNvPr id="17" name="Alternate Process 16">
          <a:hlinkClick xmlns:r="http://schemas.openxmlformats.org/officeDocument/2006/relationships" r:id="rId7"/>
          <a:extLst>
            <a:ext uri="{FF2B5EF4-FFF2-40B4-BE49-F238E27FC236}">
              <a16:creationId xmlns:a16="http://schemas.microsoft.com/office/drawing/2014/main" id="{00000000-0008-0000-0800-000011000000}"/>
            </a:ext>
          </a:extLst>
        </xdr:cNvPr>
        <xdr:cNvSpPr/>
      </xdr:nvSpPr>
      <xdr:spPr>
        <a:xfrm>
          <a:off x="10325100" y="9182100"/>
          <a:ext cx="1409700" cy="640080"/>
        </a:xfrm>
        <a:prstGeom prst="flowChartAlternateProcess">
          <a:avLst/>
        </a:prstGeom>
        <a:solidFill>
          <a:schemeClr val="bg2">
            <a:lumMod val="5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Idle Time Reduction</a:t>
          </a:r>
        </a:p>
      </xdr:txBody>
    </xdr:sp>
    <xdr:clientData/>
  </xdr:oneCellAnchor>
  <xdr:oneCellAnchor>
    <xdr:from>
      <xdr:col>8</xdr:col>
      <xdr:colOff>0</xdr:colOff>
      <xdr:row>31</xdr:row>
      <xdr:rowOff>0</xdr:rowOff>
    </xdr:from>
    <xdr:ext cx="1409700" cy="640080"/>
    <xdr:sp macro="" textlink="">
      <xdr:nvSpPr>
        <xdr:cNvPr id="18" name="Alternate Process 17">
          <a:hlinkClick xmlns:r="http://schemas.openxmlformats.org/officeDocument/2006/relationships" r:id="rId8"/>
          <a:extLst>
            <a:ext uri="{FF2B5EF4-FFF2-40B4-BE49-F238E27FC236}">
              <a16:creationId xmlns:a16="http://schemas.microsoft.com/office/drawing/2014/main" id="{00000000-0008-0000-0800-000012000000}"/>
            </a:ext>
          </a:extLst>
        </xdr:cNvPr>
        <xdr:cNvSpPr/>
      </xdr:nvSpPr>
      <xdr:spPr>
        <a:xfrm>
          <a:off x="11801475" y="9182100"/>
          <a:ext cx="1409700" cy="640080"/>
        </a:xfrm>
        <a:prstGeom prst="flowChartAlternateProcess">
          <a:avLst/>
        </a:prstGeom>
        <a:solidFill>
          <a:schemeClr val="accent5">
            <a:lumMod val="20000"/>
            <a:lumOff val="80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baseline="0">
              <a:solidFill>
                <a:schemeClr val="tx1"/>
              </a:solidFill>
            </a:rPr>
            <a:t>Onboard IR</a:t>
          </a:r>
        </a:p>
      </xdr:txBody>
    </xdr:sp>
    <xdr:clientData/>
  </xdr:oneCellAnchor>
  <xdr:twoCellAnchor>
    <xdr:from>
      <xdr:col>5</xdr:col>
      <xdr:colOff>288924</xdr:colOff>
      <xdr:row>2</xdr:row>
      <xdr:rowOff>9525</xdr:rowOff>
    </xdr:from>
    <xdr:to>
      <xdr:col>8</xdr:col>
      <xdr:colOff>1419224</xdr:colOff>
      <xdr:row>29</xdr:row>
      <xdr:rowOff>152400</xdr:rowOff>
    </xdr:to>
    <xdr:graphicFrame macro="">
      <xdr:nvGraphicFramePr>
        <xdr:cNvPr id="20" name="Chart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0</xdr:colOff>
      <xdr:row>27</xdr:row>
      <xdr:rowOff>0</xdr:rowOff>
    </xdr:from>
    <xdr:ext cx="1409700" cy="640080"/>
    <xdr:sp macro="" textlink="">
      <xdr:nvSpPr>
        <xdr:cNvPr id="21" name="Alternate Process 7">
          <a:hlinkClick xmlns:r="http://schemas.openxmlformats.org/officeDocument/2006/relationships" r:id="rId10"/>
          <a:extLst>
            <a:ext uri="{FF2B5EF4-FFF2-40B4-BE49-F238E27FC236}">
              <a16:creationId xmlns:a16="http://schemas.microsoft.com/office/drawing/2014/main" id="{00000000-0008-0000-0800-000015000000}"/>
            </a:ext>
          </a:extLst>
        </xdr:cNvPr>
        <xdr:cNvSpPr/>
      </xdr:nvSpPr>
      <xdr:spPr>
        <a:xfrm>
          <a:off x="1466850" y="6172200"/>
          <a:ext cx="1409700" cy="640080"/>
        </a:xfrm>
        <a:prstGeom prst="flowChartAlternateProcess">
          <a:avLst/>
        </a:prstGeom>
        <a:no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400">
              <a:solidFill>
                <a:schemeClr val="tx1"/>
              </a:solidFill>
            </a:rPr>
            <a:t>Planning Summary</a:t>
          </a:r>
          <a:endParaRPr lang="en-US" sz="1400" baseline="0">
            <a:solidFill>
              <a:schemeClr val="tx1"/>
            </a:solidFill>
          </a:endParaRP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0000000}" name="tbl_AltFuel" displayName="tbl_AltFuel" ref="B41:H48" totalsRowShown="0" headerRowDxfId="113" tableBorderDxfId="112">
  <tableColumns count="7">
    <tableColumn id="3" xr3:uid="{00000000-0010-0000-0000-000003000000}" name="Vehicle Category (select from list)" dataDxfId="111"/>
    <tableColumn id="4" xr3:uid="{00000000-0010-0000-0000-000004000000}" name="Number of Alternative Fuel Vehicles" dataDxfId="110"/>
    <tableColumn id="5" xr3:uid="{00000000-0010-0000-0000-000005000000}" name="Average VMT of Vehicles (miles/year/ vehicle)" dataDxfId="109"/>
    <tableColumn id="6" xr3:uid="{00000000-0010-0000-0000-000006000000}" name="Fuel Type" dataDxfId="108"/>
    <tableColumn id="9" xr3:uid="{00000000-0010-0000-0000-000009000000}" name="Percent of total fuel use that is alternative fuel" dataDxfId="107" dataCellStyle="Percent"/>
    <tableColumn id="11" xr3:uid="{00000000-0010-0000-0000-00000B000000}" name="Fuel Economy of AFV (miles/GGE)" dataDxfId="106"/>
    <tableColumn id="13" xr3:uid="{00000000-0010-0000-0000-00000D000000}" name="Petroleum Reduction (GGE)" dataDxfId="105" dataCellStyle="Comma">
      <calculatedColumnFormula>IF(tbl_AltFuel[[#This Row],[Fuel Economy of AFV (miles/GGE)]]="","",tbl_AltFuel[[#This Row],[Number of Alternative Fuel Vehicles]]*tbl_AltFuel[[#This Row],[Average VMT of Vehicles (miles/year/ vehicle)]]*tbl_AltFuel[[#This Row],[Percent of total fuel use that is alternative fuel]]/tbl_AltFuel[[#This Row],[Fuel Economy of AFV (miles/GGE)]])</calculatedColumnFormula>
    </tableColumn>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Idle_fuel_lists_load" displayName="Idle_fuel_lists_load" ref="C133:N135" totalsRowShown="0">
  <autoFilter ref="C133:N135" xr:uid="{00000000-0009-0000-0100-000005000000}"/>
  <tableColumns count="12">
    <tableColumn id="1" xr3:uid="{00000000-0010-0000-0900-000001000000}" name="Load Selection"/>
    <tableColumn id="2" xr3:uid="{00000000-0010-0000-0900-000002000000}" name="Passenger Car (Ford Focus) (Class 1, Fuel - G, Engine l - 2, GVWR - lb)"/>
    <tableColumn id="3" xr3:uid="{00000000-0010-0000-0900-000003000000}" name="Passenger Car (Volkswagen Jetta) (Class 1, Fuel - D, Engine l - 2, GVWR - lb)"/>
    <tableColumn id="4" xr3:uid="{00000000-0010-0000-0900-000004000000}" name="Passenger Car (Ford Crown Victoria) (Class 1, Fuel - G, Engine l - 4.6, GVWR - lb)"/>
    <tableColumn id="5" xr3:uid="{00000000-0010-0000-0900-000005000000}" name="Medium Heavy Truck (Class 6, Fuel - G, Engine l - 5-7, GVWR 19,700 - 26,000 lb)"/>
    <tableColumn id="6" xr3:uid="{00000000-0010-0000-0900-000006000000}" name="Delivery Truck (Class 5, Fuel - D, Engine l - -, GVWR 19,500 lb)"/>
    <tableColumn id="7" xr3:uid="{00000000-0010-0000-0900-000007000000}" name="Tow Truck (Class 6, Fuel - D, Engine l - -, GVWR 26,000 lb)"/>
    <tableColumn id="8" xr3:uid="{00000000-0010-0000-0900-000008000000}" name="Medium Heavy Truck (Class 6 - 7, Fuel - D, Engine l - 6 - 10, GVWR 23,000 - 33,000 lb)"/>
    <tableColumn id="9" xr3:uid="{00000000-0010-0000-0900-000009000000}" name="Transit Bus (Class 7, Fuel - D, Engine l - -, GVWR 30,000 lb)"/>
    <tableColumn id="10" xr3:uid="{00000000-0010-0000-0900-00000A000000}" name="Combination Truck (Class 7, Fuel - D, Engine l - -, GVWR 32,000 lb)"/>
    <tableColumn id="11" xr3:uid="{00000000-0010-0000-0900-00000B000000}" name="Bucket Truck (Class 8, Fuel - D, Engine l - -, GVWR 37,000 lb)"/>
    <tableColumn id="12" xr3:uid="{00000000-0010-0000-0900-00000C000000}" name="Tractor-Semitrailer (Class 8, Fuel - D, Engine l - -, GVWR 80,000 lb)"/>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Idle_fuel_lists_noload" displayName="Idle_fuel_lists_noload" ref="C138:N140" totalsRowShown="0">
  <autoFilter ref="C138:N140" xr:uid="{00000000-0009-0000-0100-000006000000}"/>
  <tableColumns count="12">
    <tableColumn id="1" xr3:uid="{00000000-0010-0000-0A00-000001000000}" name="Load Selection"/>
    <tableColumn id="2" xr3:uid="{00000000-0010-0000-0A00-000002000000}" name="Passenger Car (Ford Focus) (Class 1, Fuel - G, Engine l - 2, GVWR - lb)"/>
    <tableColumn id="3" xr3:uid="{00000000-0010-0000-0A00-000003000000}" name="Passenger Car (Volkswagen Jetta) (Class 1, Fuel - D, Engine l - 2, GVWR - lb)"/>
    <tableColumn id="4" xr3:uid="{00000000-0010-0000-0A00-000004000000}" name="Passenger Car (Ford Crown Victoria) (Class 1, Fuel - G, Engine l - 4.6, GVWR - lb)"/>
    <tableColumn id="5" xr3:uid="{00000000-0010-0000-0A00-000005000000}" name="Medium Heavy Truck (Class 6, Fuel - G, Engine l - 5-7, GVWR 19,700 - 26,000 lb)"/>
    <tableColumn id="6" xr3:uid="{00000000-0010-0000-0A00-000006000000}" name="Delivery Truck (Class 5, Fuel - D, Engine l - -, GVWR 19,500 lb)"/>
    <tableColumn id="7" xr3:uid="{00000000-0010-0000-0A00-000007000000}" name="Tow Truck (Class 6, Fuel - D, Engine l - -, GVWR 26,000 lb)"/>
    <tableColumn id="8" xr3:uid="{00000000-0010-0000-0A00-000008000000}" name="Medium Heavy Truck (Class 6 - 7, Fuel - D, Engine l - 6 - 10, GVWR 23,000 - 33,000 lb)"/>
    <tableColumn id="9" xr3:uid="{00000000-0010-0000-0A00-000009000000}" name="Transit Bus (Class 7, Fuel - D, Engine l - -, GVWR 30,000 lb)"/>
    <tableColumn id="10" xr3:uid="{00000000-0010-0000-0A00-00000A000000}" name="Combination Truck (Class 7, Fuel - D, Engine l - -, GVWR 32,000 lb)"/>
    <tableColumn id="11" xr3:uid="{00000000-0010-0000-0A00-00000B000000}" name="Bucket Truck (Class 8, Fuel - D, Engine l - -, GVWR 37,000 lb)"/>
    <tableColumn id="12" xr3:uid="{00000000-0010-0000-0A00-00000C000000}" name="Tractor-Semitrailer (Class 8, Fuel - D, Engine l - -, GVWR 80,000 lb)"/>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Default_MPG_values" displayName="Default_MPG_values" ref="C146:M148" totalsRowShown="0" headerRowDxfId="9">
  <autoFilter ref="C146:M148" xr:uid="{00000000-0009-0000-0100-000008000000}"/>
  <tableColumns count="11">
    <tableColumn id="1" xr3:uid="{00000000-0010-0000-0B00-000001000000}" name="Selection"/>
    <tableColumn id="2" xr3:uid="{00000000-0010-0000-0B00-000002000000}" name="Light duty gasoline vehicle"/>
    <tableColumn id="3" xr3:uid="{00000000-0010-0000-0B00-000003000000}" name="Dedicated CNG vehicle"/>
    <tableColumn id="4" xr3:uid="{00000000-0010-0000-0B00-000004000000}" name="Dedicated LNG vehicle"/>
    <tableColumn id="5" xr3:uid="{00000000-0010-0000-0B00-000005000000}" name="Dedicated LPG vehicle"/>
    <tableColumn id="6" xr3:uid="{00000000-0010-0000-0B00-000006000000}" name="Ethanol flexible-fuel vehicle"/>
    <tableColumn id="7" xr3:uid="{00000000-0010-0000-0B00-000007000000}" name="High efficiency gasoline vehicle"/>
    <tableColumn id="8" xr3:uid="{00000000-0010-0000-0B00-000008000000}" name="Plug-in hybrid electric vehicle (gasoline/electric)"/>
    <tableColumn id="9" xr3:uid="{00000000-0010-0000-0B00-000009000000}" name="Electric Vehicle"/>
    <tableColumn id="10" xr3:uid="{00000000-0010-0000-0B00-00000A000000}" name="Hydrogen Fuel-Cell Vehicle"/>
    <tableColumn id="11" xr3:uid="{00000000-0010-0000-0B00-00000B000000}" name="High efficiency diesel vehicle"/>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D000000}" name="Biodiesel_blendfactors" displayName="Biodiesel_blendfactors" ref="J48:M54" totalsRowShown="0">
  <autoFilter ref="J48:M54" xr:uid="{00000000-0009-0000-0100-000002000000}"/>
  <tableColumns count="4">
    <tableColumn id="1" xr3:uid="{00000000-0010-0000-0D00-000001000000}" name="Blend_factors"/>
    <tableColumn id="2" xr3:uid="{00000000-0010-0000-0D00-000002000000}" name="GGE/gallon"/>
    <tableColumn id="3" xr3:uid="{00000000-0010-0000-0D00-000003000000}" name="Conv fuel content (fraction)"/>
    <tableColumn id="4" xr3:uid="{E7BD8BBE-7EE8-6C4F-9DBE-B1D909F4AB5F}" name="Conventional Fuel Use (GGE/gal)" dataDxfId="8">
      <calculatedColumnFormula>Biodiesel_blendfactors[[#This Row],[GGE/gallon]]*Biodiesel_blendfactors[[#This Row],[Conv fuel content (fraction)]]</calculatedColumnFormula>
    </tableColum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A34A0A6-19D9-9B44-B891-E759236D17CD}" name="TBL_OnboardIR" displayName="TBL_OnboardIR" ref="L59:M62" totalsRowShown="0" headerRowDxfId="7" headerRowBorderDxfId="6" tableBorderDxfId="5" totalsRowBorderDxfId="4">
  <autoFilter ref="L59:M62" xr:uid="{CA34A0A6-19D9-9B44-B891-E759236D17CD}">
    <filterColumn colId="0" hiddenButton="1"/>
    <filterColumn colId="1" hiddenButton="1"/>
  </autoFilter>
  <tableColumns count="2">
    <tableColumn id="1" xr3:uid="{43DDFF23-77E7-D84F-930B-98A6F2995E08}" name="Onboard_Equip" dataDxfId="3"/>
    <tableColumn id="6" xr3:uid="{DFA54FB5-72BA-D242-95EE-2B6B93E3110E}" name="Data Source and Notes (electric APU)" dataDxfId="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E96C3D9-4F50-0D44-B805-BD0FC3FD85D4}" name="TBL_OnboardIdle_fuels" displayName="TBL_OnboardIdle_fuels" ref="C48:E55" totalsRowShown="0">
  <autoFilter ref="C48:E55" xr:uid="{AE96C3D9-4F50-0D44-B805-BD0FC3FD85D4}"/>
  <tableColumns count="3">
    <tableColumn id="2" xr3:uid="{7F0B36DF-7CA0-384C-B70E-6F7EA3084F6D}" name="APU"/>
    <tableColumn id="3" xr3:uid="{5B862A6C-F23B-AA42-BBE6-52E76C0CC917}" name="Direct-fired heater"/>
    <tableColumn id="4" xr3:uid="{C7915013-327F-EA40-A0B0-598DE2F42F12}" name="Direct heat with thermal storage cooling"/>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6A7BBE4-05FD-4448-A2AA-97E276C474A8}" name="TBL_APU_GGE_Savings" displayName="TBL_APU_GGE_Savings" ref="C59:J62" totalsRowShown="0">
  <autoFilter ref="C59:J62" xr:uid="{E6A7BBE4-05FD-4448-A2AA-97E276C474A8}"/>
  <tableColumns count="8">
    <tableColumn id="1" xr3:uid="{6B0D2CF1-716A-B047-97F6-1A8B635FBB9F}" name="Onboard IR Type"/>
    <tableColumn id="2" xr3:uid="{BD3AB422-8CD1-3947-93C8-BC8858DD5023}" name="Battery"/>
    <tableColumn id="3" xr3:uid="{5D2B2E6C-2F4A-304B-901E-FD5D990775AB}" name="Diesel" dataDxfId="1">
      <calculatedColumnFormula>P45</calculatedColumnFormula>
    </tableColumn>
    <tableColumn id="4" xr3:uid="{FC935F88-D336-4A4A-A44D-3BEABB918E38}" name="Gasoline" dataDxfId="0">
      <calculatedColumnFormula>(1.15-0.35)*DGGE</calculatedColumnFormula>
    </tableColumn>
    <tableColumn id="5" xr3:uid="{3F46F389-FDE6-5545-96D0-6A7E240E216F}" name="B2"/>
    <tableColumn id="6" xr3:uid="{5E3409B1-588A-8847-858B-1E4F84C4BAE8}" name="B5"/>
    <tableColumn id="7" xr3:uid="{9557D19C-B533-094C-BCA6-8371F9F734F5}" name="B10"/>
    <tableColumn id="8" xr3:uid="{720857B3-4705-6047-9FB2-2BF21BEF644B}" name="B2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6695A12-8D4C-C74E-8AF9-4FCC2A6FAD8F}" name="TBL_OnboardIR_hrs" displayName="TBL_OnboardIR_hrs" ref="C65:F67" totalsRowShown="0">
  <autoFilter ref="C65:F67" xr:uid="{86695A12-8D4C-C74E-8AF9-4FCC2A6FAD8F}"/>
  <tableColumns count="4">
    <tableColumn id="1" xr3:uid="{B47AAAC2-9DC7-1449-B0EF-2EF958A6DA21}" name="Hours"/>
    <tableColumn id="2" xr3:uid="{3C963825-0119-D24D-812E-996C97D1FAF8}" name="APU"/>
    <tableColumn id="3" xr3:uid="{1D7164A3-0066-A649-9385-6B686A93A759}" name="Direct-fired heater"/>
    <tableColumn id="4" xr3:uid="{273AEF74-D22D-6D44-A6B3-8BC78EC4E76A}" name="Direct heat with thermal storage cooling"/>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tbl_PHEV" displayName="tbl_PHEV" ref="B43:I48" totalsRowShown="0" headerRowDxfId="99" dataDxfId="97" headerRowBorderDxfId="98" tableBorderDxfId="96">
  <tableColumns count="8">
    <tableColumn id="1" xr3:uid="{00000000-0010-0000-0100-000001000000}" name="Type of Vehicle" dataDxfId="95"/>
    <tableColumn id="2" xr3:uid="{00000000-0010-0000-0100-000002000000}" name="Number of Vehicles" dataDxfId="94"/>
    <tableColumn id="3" xr3:uid="{00000000-0010-0000-0100-000003000000}" name="Average VMT (miles/year/vehicle)" dataDxfId="93" dataCellStyle="Comma">
      <calculatedColumnFormula>23.8*250</calculatedColumnFormula>
    </tableColumn>
    <tableColumn id="5" xr3:uid="{00000000-0010-0000-0100-000005000000}" name="Fuel Economy of Old Vehicle (miles/GGE)" dataDxfId="92"/>
    <tableColumn id="6" xr3:uid="{00000000-0010-0000-0100-000006000000}" name="PHEV All Electric Miles" dataDxfId="91"/>
    <tableColumn id="8" xr3:uid="{00000000-0010-0000-0100-000008000000}" name="PHEV Gasoline Fuel Economy (miles/GGE)" dataDxfId="90"/>
    <tableColumn id="7" xr3:uid="{00000000-0010-0000-0100-000007000000}" name="Days of Operation per Year" dataDxfId="89"/>
    <tableColumn id="9" xr3:uid="{00000000-0010-0000-0100-000009000000}" name="Petroleum Reduction (GGE)" dataDxfId="88" dataCellStyle="Comma">
      <calculatedColumnFormula>IF(tbl_PHEV[[#This Row],[PHEV Gasoline Fuel Economy (miles/GGE)]]="","",tbl_PHEV[[#This Row],[Number of Vehicles]]*(MIN(tbl_PHEV[[#This Row],[PHEV All Electric Miles]]*tbl_PHEV[[#This Row],[Days of Operation per Year]],tbl_PHEV[[#This Row],[Average VMT (miles/year/vehicle)]])/tbl_PHEV[[#This Row],[Fuel Economy of Old Vehicle (miles/GGE)]]+(tbl_PHEV[[#This Row],[Average VMT (miles/year/vehicle)]]-MIN(tbl_PHEV[[#This Row],[PHEV All Electric Miles]]*tbl_PHEV[[#This Row],[Days of Operation per Year]],tbl_PHEV[[#This Row],[Average VMT (miles/year/vehicle)]]))*(1/tbl_PHEV[[#This Row],[Fuel Economy of Old Vehicle (miles/GGE)]]-1/tbl_PHEV[[#This Row],[PHEV Gasoline Fuel Economy (miles/GGE)]])))</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_biodiesel_veh" displayName="tbl_biodiesel_veh" ref="B44:H64" totalsRowShown="0" headerRowDxfId="87" dataDxfId="86" tableBorderDxfId="85">
  <tableColumns count="7">
    <tableColumn id="1" xr3:uid="{00000000-0010-0000-0200-000001000000}" name="Vehicle Type" dataDxfId="84"/>
    <tableColumn id="2" xr3:uid="{00000000-0010-0000-0200-000002000000}" name="Number of Vehicles" dataDxfId="83" dataCellStyle="Comma"/>
    <tableColumn id="6" xr3:uid="{00000000-0010-0000-0200-000006000000}" name="Fuel Economy (miles/GGE)" dataDxfId="82" dataCellStyle="Comma"/>
    <tableColumn id="3" xr3:uid="{00000000-0010-0000-0200-000003000000}" name="Percent B100 in Biodiesel Blend" dataDxfId="81" dataCellStyle="Percent"/>
    <tableColumn id="4" xr3:uid="{00000000-0010-0000-0200-000004000000}" name="Annual VMT" dataDxfId="80" dataCellStyle="Comma"/>
    <tableColumn id="5" xr3:uid="{00000000-0010-0000-0200-000005000000}" name="Percent of Fuel Use" dataDxfId="79" dataCellStyle="Percent"/>
    <tableColumn id="7" xr3:uid="{00000000-0010-0000-0200-000007000000}" name="Petroleum Reduction (GGE)" dataDxfId="78" dataCellStyle="Comma">
      <calculatedColumnFormula>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_FuelEconomy" displayName="tbl_FuelEconomy" ref="B41:H45" totalsRowShown="0" headerRowDxfId="70" dataDxfId="68" headerRowBorderDxfId="69" tableBorderDxfId="67">
  <tableColumns count="7">
    <tableColumn id="1" xr3:uid="{00000000-0010-0000-0300-000001000000}" name="Fuel (select from list)" dataDxfId="66"/>
    <tableColumn id="6" xr3:uid="{00000000-0010-0000-0300-000006000000}" name="Vehicle Type (select from list)" dataDxfId="65"/>
    <tableColumn id="2" xr3:uid="{00000000-0010-0000-0300-000002000000}" name="Number of Vehicles" dataDxfId="64"/>
    <tableColumn id="3" xr3:uid="{00000000-0010-0000-0300-000003000000}" name="Average VMT (miles/year/vehicle)" dataDxfId="63" dataCellStyle="Comma"/>
    <tableColumn id="5" xr3:uid="{00000000-0010-0000-0300-000005000000}" name="Fuel Economy of Old Vehicle (miles/GGE)" dataDxfId="62"/>
    <tableColumn id="8" xr3:uid="{00000000-0010-0000-0300-000008000000}" name="Fuel Economy of New Vehicle (miles/GGE)" dataDxfId="61"/>
    <tableColumn id="9" xr3:uid="{00000000-0010-0000-0300-000009000000}" name="Petroleum Reduction (GGE)" dataDxfId="60" dataCellStyle="Comma">
      <calculatedColumnFormula>IF(tbl_FuelEconomy[[#This Row],[Fuel Economy of New Vehicle (miles/GGE)]]="","",tbl_FuelEconomy[[#This Row],[Number of Vehicles]]*tbl_FuelEconomy[[#This Row],[Average VMT (miles/year/vehicle)]]*(1/tbl_FuelEconomy[[#This Row],[Fuel Economy of Old Vehicle (miles/GGE)]]-1/tbl_FuelEconomy[[#This Row],[Fuel Economy of New Vehicle (miles/GGE)]]))</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bl_VMTred" displayName="tbl_VMTred" ref="B40:H45" totalsRowShown="0" headerRowDxfId="59" tableBorderDxfId="58">
  <tableColumns count="7">
    <tableColumn id="11" xr3:uid="{00000000-0010-0000-0400-00000B000000}" name="Fuel Used in Vehicle" dataDxfId="57"/>
    <tableColumn id="1" xr3:uid="{00000000-0010-0000-0400-000001000000}" name="Vehicle Type (select from list)" dataDxfId="56"/>
    <tableColumn id="2" xr3:uid="{00000000-0010-0000-0400-000002000000}" name="Number of Vehicles" dataDxfId="55"/>
    <tableColumn id="3" xr3:uid="{00000000-0010-0000-0400-000003000000}" name="Average Previous VMT of Vehicles (miles/year/vehicle)" dataDxfId="54" dataCellStyle="Comma"/>
    <tableColumn id="4" xr3:uid="{00000000-0010-0000-0400-000004000000}" name="Average New VMT of Vehicles (miles/year/vehicle)" dataDxfId="53" dataCellStyle="Comma"/>
    <tableColumn id="6" xr3:uid="{00000000-0010-0000-0400-000006000000}" name="Fuel Economy of Vehicle (miles/GGE)" dataDxfId="52"/>
    <tableColumn id="10" xr3:uid="{00000000-0010-0000-0400-00000A000000}" name="Petroleum Reduction (GGE/year)" dataDxfId="51">
      <calculatedColumnFormula>IFERROR(IF(tbl_VMTred[[#This Row],[Vehicle Type (select from list)]]="","",tbl_VMTred[[#This Row],[Number of Vehicles]]*(tbl_VMTred[[#This Row],[Average Previous VMT of Vehicles (miles/year/vehicle)]]-tbl_VMTred[[#This Row],[Average New VMT of Vehicles (miles/year/vehicle)]])/tbl_VMTred[[#This Row],[Fuel Economy of Vehicle (miles/GGE)]]),0)</calculatedColumnFormula>
    </tableColumn>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bl_TrkStop_Electrification" displayName="tbl_TrkStop_Electrification" ref="B44:G46" totalsRowShown="0" headerRowDxfId="50" dataDxfId="48" headerRowBorderDxfId="49" tableBorderDxfId="47" totalsRowBorderDxfId="46">
  <tableColumns count="6">
    <tableColumn id="1" xr3:uid="{00000000-0010-0000-0500-000001000000}" name="Truck Stop Number of Bays" dataDxfId="45"/>
    <tableColumn id="2" xr3:uid="{00000000-0010-0000-0500-000002000000}" name="Hours/year Each Bay is used" dataDxfId="44"/>
    <tableColumn id="3" xr3:uid="{00000000-0010-0000-0500-000003000000}" name="Truck Fuel Type" dataDxfId="43"/>
    <tableColumn id="4" xr3:uid="{00000000-0010-0000-0500-000004000000}" name="Idle Fuel Use (gal/h/vehicle)" dataDxfId="42"/>
    <tableColumn id="5" xr3:uid="{00000000-0010-0000-0500-000005000000}" name="GGE Conversion Factor" dataDxfId="41">
      <calculatedColumnFormula>IF(tbl_TrkStop_Electrification[[#This Row],[Truck Fuel Type]]="","",VLOOKUP(tbl_TrkStop_Electrification[[#This Row],[Truck Fuel Type]],Tbl_Fuel_Conversions,3,FALSE))</calculatedColumnFormula>
    </tableColumn>
    <tableColumn id="6" xr3:uid="{00000000-0010-0000-0500-000006000000}" name="Petroleum Reduction (GGE/year)" dataDxfId="40" dataCellStyle="Comma">
      <calculatedColumnFormula>IFERROR(IF(tbl_TrkStop_Electrification[[#This Row],[Truck Stop Number of Bays]]="","",tbl_TrkStop_Electrification[[#This Row],[Truck Stop Number of Bays]]*tbl_TrkStop_Electrification[[#This Row],[Hours/year Each Bay is used]]*tbl_TrkStop_Electrification[[#This Row],[Idle Fuel Use (gal/h/vehicle)]]*tbl_TrkStop_Electrification[[#This Row],[GGE Conversion Factor]]),0)</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_IdleRed_Input" displayName="tbl_IdleRed_Input" ref="B45:J49" totalsRowShown="0" headerRowDxfId="39" dataDxfId="38" tableBorderDxfId="37">
  <tableColumns count="9">
    <tableColumn id="2" xr3:uid="{00000000-0010-0000-0600-000002000000}" name="Select Closest Vehicle Type" dataDxfId="36"/>
    <tableColumn id="3" xr3:uid="{00000000-0010-0000-0600-000003000000}" name="Number of Vehicles" dataDxfId="35"/>
    <tableColumn id="4" xr3:uid="{00000000-0010-0000-0600-000004000000}" name="Average Reduction in Idling Time of Vehicles (hours/day)" dataDxfId="34"/>
    <tableColumn id="6" xr3:uid="{00000000-0010-0000-0600-000006000000}" name="Fuel Used in Vehicle" dataDxfId="33"/>
    <tableColumn id="7" xr3:uid="{00000000-0010-0000-0600-000007000000}" name="Select with or without Load" dataDxfId="32"/>
    <tableColumn id="8" xr3:uid="{00000000-0010-0000-0600-000008000000}" name="Idling Fuel Use (gal/h)" dataDxfId="31"/>
    <tableColumn id="9" xr3:uid="{00000000-0010-0000-0600-000009000000}" name="Work Days per Year" dataDxfId="30"/>
    <tableColumn id="11" xr3:uid="{00000000-0010-0000-0600-00000B000000}" name="GGE Conversion Factor" dataDxfId="29">
      <calculatedColumnFormula>IF(tbl_IdleRed_Input[[#This Row],[Fuel Used in Vehicle]]="","",VLOOKUP(tbl_IdleRed_Input[[#This Row],[Fuel Used in Vehicle]],Tbl_Fuel_Conversions,3,FALSE))</calculatedColumnFormula>
    </tableColumn>
    <tableColumn id="12" xr3:uid="{00000000-0010-0000-0600-00000C000000}" name="Petroleum Reduction (GGE/year)" dataDxfId="28">
      <calculatedColumnFormula>IFERROR(IF(tbl_IdleRed_Input[[#This Row],[Number of Vehicles]]="","",tbl_IdleRed_Input[[#This Row],[Average Reduction in Idling Time of Vehicles (hours/day)]]*tbl_IdleRed_Input[[#This Row],[Work Days per Year]]*tbl_IdleRed_Input[[#This Row],[Idling Fuel Use (gal/h)]]*tbl_IdleRed_Input[[#This Row],[GGE Conversion Factor]]*tbl_IdleRed_Input[[#This Row],[Number of Vehicles]]),0)</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bl_Onboard_idle_red" displayName="tbl_Onboard_idle_red" ref="B42:H45" totalsRowShown="0" headerRowDxfId="27" dataDxfId="25" headerRowBorderDxfId="26" tableBorderDxfId="24" totalsRowBorderDxfId="23">
  <tableColumns count="7">
    <tableColumn id="1" xr3:uid="{00000000-0010-0000-0700-000001000000}" name="Vehicle Description" dataDxfId="22"/>
    <tableColumn id="9" xr3:uid="{8A5DF9D5-954E-814E-980F-46D8F42044B7}" name="Vehicle Weight Class" dataDxfId="21"/>
    <tableColumn id="2" xr3:uid="{00000000-0010-0000-0700-000002000000}" name="Type of Idle Reduction Equipment" dataDxfId="20"/>
    <tableColumn id="10" xr3:uid="{8AD4BD5C-B72C-154A-A401-885537DDE10A}" name="APU Fuel Type" dataDxfId="19"/>
    <tableColumn id="7" xr3:uid="{00000000-0010-0000-0700-000007000000}" name="Number of vehicles" dataDxfId="18"/>
    <tableColumn id="5" xr3:uid="{8AE8E8C0-A4EE-4140-8E83-6B4F62B2AD0E}" name="hours / year PTO use" dataDxfId="17" dataCellStyle="Comma"/>
    <tableColumn id="6" xr3:uid="{00000000-0010-0000-0700-000006000000}" name="Petroleum Reduction (GGE/year)" dataDxfId="16" dataCellStyle="Comma">
      <calculatedColumnFormula>IFERROR(tbl_Onboard_idle_red[[#This Row],[Number of vehicles]]*tbl_Onboard_idle_red[[#This Row],[hours / year PTO use]]*INDEX(TBL_APU_GGE_Savings[],MATCH(tbl_Onboard_idle_red[[#This Row],[Type of Idle Reduction Equipment]],TBL_APU_GGE_Savings[Onboard IR Type],0),MATCH(tbl_Onboard_idle_red[[#This Row],[APU Fuel Type]],TBL_APU_GGE_Savings[#Headers],0)),0)</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General_Fuel_List" displayName="General_Fuel_List" ref="C23:E30" totalsRowShown="0" headerRowDxfId="15" headerRowBorderDxfId="14" tableBorderDxfId="13">
  <autoFilter ref="C23:E30" xr:uid="{00000000-0009-0000-0100-000003000000}"/>
  <tableColumns count="3">
    <tableColumn id="1" xr3:uid="{00000000-0010-0000-0800-000001000000}" name="ACV_Fuel_Lookup" dataDxfId="12"/>
    <tableColumn id="2" xr3:uid="{00000000-0010-0000-0800-000002000000}" name="Fuel List Value" dataDxfId="11"/>
    <tableColumn id="3" xr3:uid="{00000000-0010-0000-0800-000003000000}" name="Percent_Alt_Fuel" dataDxfId="10" dataCellStyle="Percen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3" Type="http://schemas.openxmlformats.org/officeDocument/2006/relationships/hyperlink" Target="https://www.osti.gov/servlets/purl/1342660" TargetMode="External"/><Relationship Id="rId7" Type="http://schemas.openxmlformats.org/officeDocument/2006/relationships/table" Target="../tables/table11.xml"/><Relationship Id="rId12" Type="http://schemas.openxmlformats.org/officeDocument/2006/relationships/table" Target="../tables/table16.xml"/><Relationship Id="rId2" Type="http://schemas.openxmlformats.org/officeDocument/2006/relationships/hyperlink" Target="https://www.nrel.gov/transportation/assets/pdfs/67116.pdf" TargetMode="External"/><Relationship Id="rId1" Type="http://schemas.openxmlformats.org/officeDocument/2006/relationships/hyperlink" Target="https://www.nrel.gov/transportation/assets/pdfs/67116.pdf" TargetMode="External"/><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0" Type="http://schemas.openxmlformats.org/officeDocument/2006/relationships/table" Target="../tables/table14.xml"/><Relationship Id="rId4" Type="http://schemas.openxmlformats.org/officeDocument/2006/relationships/drawing" Target="../drawings/drawing10.xml"/><Relationship Id="rId9"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75"/>
  <sheetViews>
    <sheetView showGridLines="0" tabSelected="1" zoomScale="80" zoomScaleNormal="80" zoomScalePageLayoutView="80" workbookViewId="0">
      <selection activeCell="E18" sqref="E18:F18"/>
    </sheetView>
  </sheetViews>
  <sheetFormatPr baseColWidth="10" defaultColWidth="8.83203125" defaultRowHeight="16"/>
  <cols>
    <col min="1" max="1" width="8.83203125" style="1"/>
    <col min="2" max="2" width="4" style="1" customWidth="1"/>
    <col min="3" max="3" width="19.1640625" style="1" customWidth="1"/>
    <col min="4" max="12" width="19.33203125" style="1" customWidth="1"/>
    <col min="13" max="14" width="8.83203125" style="1"/>
    <col min="15" max="15" width="5.33203125" style="1" customWidth="1"/>
    <col min="16" max="16384" width="8.83203125" style="1"/>
  </cols>
  <sheetData>
    <row r="1" spans="2:15" ht="17" thickBot="1"/>
    <row r="2" spans="2:15">
      <c r="B2" s="218"/>
      <c r="C2" s="219"/>
      <c r="D2" s="219"/>
      <c r="E2" s="219"/>
      <c r="F2" s="219"/>
      <c r="G2" s="219"/>
      <c r="H2" s="219"/>
      <c r="I2" s="219"/>
      <c r="J2" s="219"/>
      <c r="K2" s="219"/>
      <c r="L2" s="219"/>
      <c r="M2" s="219"/>
      <c r="N2" s="219"/>
      <c r="O2" s="220"/>
    </row>
    <row r="3" spans="2:15" ht="18">
      <c r="B3" s="221"/>
      <c r="C3" s="232" t="s">
        <v>571</v>
      </c>
      <c r="D3" s="232"/>
      <c r="E3" s="232"/>
      <c r="F3" s="232"/>
      <c r="G3" s="232"/>
      <c r="H3" s="232"/>
      <c r="I3" s="232"/>
      <c r="J3" s="232"/>
      <c r="K3" s="232"/>
      <c r="L3" s="232"/>
      <c r="M3" s="232"/>
      <c r="N3" s="232"/>
      <c r="O3" s="233"/>
    </row>
    <row r="4" spans="2:15">
      <c r="B4" s="221"/>
      <c r="D4" s="234" t="s">
        <v>572</v>
      </c>
      <c r="E4" s="234"/>
      <c r="F4" s="234"/>
      <c r="G4" s="234"/>
      <c r="H4" s="234"/>
      <c r="I4" s="234"/>
      <c r="J4" s="234"/>
      <c r="K4" s="234"/>
      <c r="L4" s="234"/>
      <c r="M4" s="234"/>
      <c r="N4" s="234"/>
      <c r="O4" s="222"/>
    </row>
    <row r="5" spans="2:15">
      <c r="B5" s="221"/>
      <c r="D5" s="234"/>
      <c r="E5" s="234"/>
      <c r="F5" s="234"/>
      <c r="G5" s="234"/>
      <c r="H5" s="234"/>
      <c r="I5" s="234"/>
      <c r="J5" s="234"/>
      <c r="K5" s="234"/>
      <c r="L5" s="234"/>
      <c r="M5" s="234"/>
      <c r="N5" s="234"/>
      <c r="O5" s="222"/>
    </row>
    <row r="6" spans="2:15">
      <c r="B6" s="221"/>
      <c r="D6" s="234"/>
      <c r="E6" s="234"/>
      <c r="F6" s="234"/>
      <c r="G6" s="234"/>
      <c r="H6" s="234"/>
      <c r="I6" s="234"/>
      <c r="J6" s="234"/>
      <c r="K6" s="234"/>
      <c r="L6" s="234"/>
      <c r="M6" s="234"/>
      <c r="N6" s="234"/>
      <c r="O6" s="222"/>
    </row>
    <row r="7" spans="2:15">
      <c r="B7" s="221"/>
      <c r="O7" s="222"/>
    </row>
    <row r="8" spans="2:15">
      <c r="B8" s="221"/>
      <c r="O8" s="222"/>
    </row>
    <row r="9" spans="2:15" ht="17" thickBot="1">
      <c r="B9" s="221"/>
      <c r="O9" s="222"/>
    </row>
    <row r="10" spans="2:15">
      <c r="B10" s="221"/>
      <c r="C10" s="252" t="s">
        <v>344</v>
      </c>
      <c r="D10" s="253"/>
      <c r="E10" s="253"/>
      <c r="F10" s="254"/>
      <c r="O10" s="222"/>
    </row>
    <row r="11" spans="2:15">
      <c r="B11" s="221"/>
      <c r="C11" s="88"/>
      <c r="D11" s="255" t="s">
        <v>293</v>
      </c>
      <c r="E11" s="255"/>
      <c r="F11" s="256"/>
      <c r="O11" s="222"/>
    </row>
    <row r="12" spans="2:15" ht="17.25" customHeight="1">
      <c r="B12" s="221"/>
      <c r="C12" s="120"/>
      <c r="D12" s="255" t="s">
        <v>347</v>
      </c>
      <c r="E12" s="255"/>
      <c r="F12" s="256"/>
      <c r="O12" s="222"/>
    </row>
    <row r="13" spans="2:15" ht="17" customHeight="1">
      <c r="B13" s="221"/>
      <c r="C13" s="89"/>
      <c r="D13" s="257" t="s">
        <v>292</v>
      </c>
      <c r="E13" s="257"/>
      <c r="F13" s="258"/>
      <c r="O13" s="222"/>
    </row>
    <row r="14" spans="2:15">
      <c r="B14" s="221"/>
      <c r="C14" s="90"/>
      <c r="D14" s="259" t="s">
        <v>345</v>
      </c>
      <c r="E14" s="259"/>
      <c r="F14" s="260"/>
      <c r="O14" s="222"/>
    </row>
    <row r="15" spans="2:15" ht="16" customHeight="1" thickBot="1">
      <c r="B15" s="221"/>
      <c r="C15" s="91"/>
      <c r="D15" s="261" t="s">
        <v>346</v>
      </c>
      <c r="E15" s="261"/>
      <c r="F15" s="262"/>
      <c r="O15" s="222"/>
    </row>
    <row r="16" spans="2:15">
      <c r="B16" s="221"/>
      <c r="O16" s="222"/>
    </row>
    <row r="17" spans="2:15" ht="20" thickBot="1">
      <c r="B17" s="221"/>
      <c r="C17" s="35" t="s">
        <v>263</v>
      </c>
      <c r="D17" s="34"/>
      <c r="E17" s="34"/>
      <c r="F17" s="34"/>
      <c r="H17" s="35" t="s">
        <v>264</v>
      </c>
      <c r="I17" s="34"/>
      <c r="J17" s="34"/>
      <c r="O17" s="222"/>
    </row>
    <row r="18" spans="2:15" ht="17" customHeight="1">
      <c r="B18" s="221"/>
      <c r="C18" s="242" t="s">
        <v>265</v>
      </c>
      <c r="D18" s="243"/>
      <c r="E18" s="263"/>
      <c r="F18" s="264"/>
      <c r="H18" s="242" t="s">
        <v>266</v>
      </c>
      <c r="I18" s="242"/>
      <c r="J18" s="242"/>
      <c r="K18" s="263"/>
      <c r="L18" s="265"/>
      <c r="M18" s="265"/>
      <c r="N18" s="264"/>
      <c r="O18" s="222"/>
    </row>
    <row r="19" spans="2:15" ht="17" customHeight="1">
      <c r="B19" s="221"/>
      <c r="C19" s="242" t="s">
        <v>267</v>
      </c>
      <c r="D19" s="243"/>
      <c r="E19" s="244"/>
      <c r="F19" s="245"/>
      <c r="H19" s="242" t="s">
        <v>268</v>
      </c>
      <c r="I19" s="242"/>
      <c r="J19" s="242"/>
      <c r="K19" s="244"/>
      <c r="L19" s="251"/>
      <c r="M19" s="251"/>
      <c r="N19" s="245"/>
      <c r="O19" s="222"/>
    </row>
    <row r="20" spans="2:15" ht="29" customHeight="1">
      <c r="B20" s="221"/>
      <c r="C20" s="246" t="s">
        <v>269</v>
      </c>
      <c r="D20" s="247"/>
      <c r="E20" s="244"/>
      <c r="F20" s="245"/>
      <c r="H20" s="248" t="s">
        <v>270</v>
      </c>
      <c r="I20" s="248"/>
      <c r="J20" s="248"/>
      <c r="K20" s="244"/>
      <c r="L20" s="251"/>
      <c r="M20" s="251"/>
      <c r="N20" s="245"/>
      <c r="O20" s="222"/>
    </row>
    <row r="21" spans="2:15" ht="17" customHeight="1">
      <c r="B21" s="221"/>
      <c r="C21" s="246" t="s">
        <v>271</v>
      </c>
      <c r="D21" s="247"/>
      <c r="E21" s="244"/>
      <c r="F21" s="245"/>
      <c r="H21" s="248"/>
      <c r="I21" s="248"/>
      <c r="J21" s="248"/>
      <c r="K21" s="244"/>
      <c r="L21" s="251"/>
      <c r="M21" s="251"/>
      <c r="N21" s="245"/>
      <c r="O21" s="222"/>
    </row>
    <row r="22" spans="2:15" ht="17" customHeight="1">
      <c r="B22" s="221"/>
      <c r="C22" s="242" t="s">
        <v>426</v>
      </c>
      <c r="D22" s="243"/>
      <c r="E22" s="249" t="s">
        <v>436</v>
      </c>
      <c r="F22" s="250"/>
      <c r="H22" s="242"/>
      <c r="I22" s="242"/>
      <c r="J22" s="242"/>
      <c r="K22" s="244"/>
      <c r="L22" s="251"/>
      <c r="M22" s="251"/>
      <c r="N22" s="245"/>
      <c r="O22" s="222"/>
    </row>
    <row r="23" spans="2:15" ht="17" customHeight="1">
      <c r="B23" s="221"/>
      <c r="C23" s="242" t="s">
        <v>272</v>
      </c>
      <c r="D23" s="243"/>
      <c r="E23" s="244"/>
      <c r="F23" s="245"/>
      <c r="H23" s="242" t="s">
        <v>273</v>
      </c>
      <c r="I23" s="242"/>
      <c r="J23" s="242"/>
      <c r="K23" s="244"/>
      <c r="L23" s="251"/>
      <c r="M23" s="251"/>
      <c r="N23" s="245"/>
      <c r="O23" s="222"/>
    </row>
    <row r="24" spans="2:15" ht="17" customHeight="1">
      <c r="B24" s="221"/>
      <c r="C24" s="246"/>
      <c r="D24" s="247"/>
      <c r="E24" s="244"/>
      <c r="F24" s="245"/>
      <c r="H24" s="242" t="s">
        <v>274</v>
      </c>
      <c r="I24" s="242"/>
      <c r="J24" s="242"/>
      <c r="K24" s="244"/>
      <c r="L24" s="251"/>
      <c r="M24" s="251"/>
      <c r="N24" s="245"/>
      <c r="O24" s="222"/>
    </row>
    <row r="25" spans="2:15" ht="17" customHeight="1">
      <c r="B25" s="221"/>
      <c r="C25" s="246"/>
      <c r="D25" s="247"/>
      <c r="E25" s="244"/>
      <c r="F25" s="245"/>
      <c r="H25" s="242" t="s">
        <v>275</v>
      </c>
      <c r="I25" s="242"/>
      <c r="J25" s="242"/>
      <c r="K25" s="266"/>
      <c r="L25" s="267"/>
      <c r="M25" s="267"/>
      <c r="N25" s="268"/>
      <c r="O25" s="222"/>
    </row>
    <row r="26" spans="2:15" ht="17" customHeight="1">
      <c r="B26" s="221"/>
      <c r="C26" s="242" t="s">
        <v>276</v>
      </c>
      <c r="D26" s="243"/>
      <c r="E26" s="244"/>
      <c r="F26" s="245"/>
      <c r="H26" s="242" t="s">
        <v>277</v>
      </c>
      <c r="I26" s="242"/>
      <c r="J26" s="242"/>
      <c r="K26" s="269"/>
      <c r="L26" s="270"/>
      <c r="M26" s="270"/>
      <c r="N26" s="271"/>
      <c r="O26" s="222"/>
    </row>
    <row r="27" spans="2:15" ht="17" customHeight="1">
      <c r="B27" s="221"/>
      <c r="C27" s="242" t="s">
        <v>278</v>
      </c>
      <c r="D27" s="243"/>
      <c r="E27" s="244"/>
      <c r="F27" s="245"/>
      <c r="H27" s="246" t="s">
        <v>279</v>
      </c>
      <c r="I27" s="246"/>
      <c r="J27" s="246"/>
      <c r="K27" s="272"/>
      <c r="L27" s="270"/>
      <c r="M27" s="270"/>
      <c r="N27" s="271"/>
      <c r="O27" s="222"/>
    </row>
    <row r="28" spans="2:15" ht="17" customHeight="1" thickBot="1">
      <c r="B28" s="221"/>
      <c r="C28" s="242" t="s">
        <v>280</v>
      </c>
      <c r="D28" s="243"/>
      <c r="E28" s="273"/>
      <c r="F28" s="274"/>
      <c r="H28" s="242" t="s">
        <v>281</v>
      </c>
      <c r="I28" s="242"/>
      <c r="J28" s="242"/>
      <c r="K28" s="275"/>
      <c r="L28" s="276"/>
      <c r="M28" s="276"/>
      <c r="N28" s="277"/>
      <c r="O28" s="222"/>
    </row>
    <row r="29" spans="2:15" ht="17" customHeight="1">
      <c r="B29" s="221"/>
      <c r="C29" s="34" t="s">
        <v>282</v>
      </c>
      <c r="D29" s="34"/>
      <c r="E29" s="34"/>
      <c r="F29" s="34"/>
      <c r="G29" s="223"/>
      <c r="H29" s="34"/>
      <c r="I29" s="34"/>
      <c r="O29" s="222"/>
    </row>
    <row r="30" spans="2:15">
      <c r="B30" s="221"/>
      <c r="C30" s="34"/>
      <c r="D30" s="34"/>
      <c r="E30" s="34"/>
      <c r="F30" s="34"/>
      <c r="G30" s="223"/>
      <c r="H30" s="34"/>
      <c r="I30" s="34"/>
      <c r="K30"/>
      <c r="O30" s="222"/>
    </row>
    <row r="31" spans="2:15">
      <c r="B31" s="221"/>
      <c r="C31" s="34"/>
      <c r="D31" s="224" t="s">
        <v>349</v>
      </c>
      <c r="E31" s="106">
        <v>2024</v>
      </c>
      <c r="F31" s="34"/>
      <c r="G31" s="225">
        <f>DATE(credit_year-1,9,1)</f>
        <v>45170</v>
      </c>
      <c r="H31" s="226" t="s">
        <v>283</v>
      </c>
      <c r="I31" s="227">
        <f>DATE(credit_year,8,31)</f>
        <v>45535</v>
      </c>
      <c r="K31"/>
      <c r="O31" s="222"/>
    </row>
    <row r="32" spans="2:15">
      <c r="B32" s="221"/>
      <c r="C32" s="34"/>
      <c r="D32" s="34"/>
      <c r="E32" s="34"/>
      <c r="F32" s="34"/>
      <c r="G32" s="37"/>
      <c r="H32" s="34"/>
      <c r="I32" s="34"/>
      <c r="K32"/>
      <c r="O32" s="222"/>
    </row>
    <row r="33" spans="2:15" ht="17" customHeight="1">
      <c r="B33" s="221"/>
      <c r="C33" s="278" t="s">
        <v>350</v>
      </c>
      <c r="D33" s="278"/>
      <c r="E33" s="106">
        <v>1</v>
      </c>
      <c r="F33" s="34" t="s">
        <v>357</v>
      </c>
      <c r="G33" s="279" t="s">
        <v>352</v>
      </c>
      <c r="H33" s="279"/>
      <c r="I33" s="34"/>
      <c r="K33"/>
      <c r="O33" s="222"/>
    </row>
    <row r="34" spans="2:15">
      <c r="B34" s="221"/>
      <c r="C34" s="34"/>
      <c r="D34" s="34"/>
      <c r="E34" s="34"/>
      <c r="F34" s="34"/>
      <c r="G34"/>
      <c r="H34"/>
      <c r="I34" s="34"/>
      <c r="K34"/>
      <c r="O34" s="222"/>
    </row>
    <row r="35" spans="2:15" ht="17">
      <c r="B35" s="221"/>
      <c r="C35" s="281" t="s">
        <v>351</v>
      </c>
      <c r="D35" s="281"/>
      <c r="F35" s="34"/>
      <c r="G35" s="279" t="s">
        <v>353</v>
      </c>
      <c r="H35" s="279"/>
      <c r="I35" s="34"/>
      <c r="K35"/>
      <c r="O35" s="222"/>
    </row>
    <row r="36" spans="2:15" ht="15" customHeight="1">
      <c r="B36" s="221"/>
      <c r="C36" s="281"/>
      <c r="D36" s="281"/>
      <c r="E36" s="106"/>
      <c r="F36" s="34" t="s">
        <v>356</v>
      </c>
      <c r="G36" s="279" t="s">
        <v>354</v>
      </c>
      <c r="H36" s="279"/>
      <c r="I36" s="34"/>
      <c r="O36" s="222"/>
    </row>
    <row r="37" spans="2:15" ht="17">
      <c r="B37" s="221"/>
      <c r="G37" s="279" t="s">
        <v>355</v>
      </c>
      <c r="H37" s="279"/>
      <c r="O37" s="222"/>
    </row>
    <row r="38" spans="2:15">
      <c r="B38" s="221"/>
      <c r="O38" s="222"/>
    </row>
    <row r="39" spans="2:15" ht="18" customHeight="1">
      <c r="B39" s="221"/>
      <c r="C39" s="282" t="str">
        <f>"MY "&amp;credit_year&amp;" Petroleum Reduction Requirement"</f>
        <v>MY 2024 Petroleum Reduction Requirement</v>
      </c>
      <c r="D39" s="282"/>
      <c r="E39" s="107">
        <f>E33*E36</f>
        <v>0</v>
      </c>
      <c r="F39" s="1" t="s">
        <v>52</v>
      </c>
      <c r="O39" s="222"/>
    </row>
    <row r="40" spans="2:15">
      <c r="B40" s="221"/>
      <c r="C40" s="282"/>
      <c r="D40" s="282"/>
      <c r="E40" s="228"/>
      <c r="O40" s="222"/>
    </row>
    <row r="41" spans="2:15">
      <c r="B41" s="221"/>
      <c r="O41" s="222"/>
    </row>
    <row r="42" spans="2:15">
      <c r="B42" s="221"/>
      <c r="O42" s="222"/>
    </row>
    <row r="43" spans="2:15" ht="55" customHeight="1">
      <c r="B43" s="221"/>
      <c r="C43" s="280" t="s">
        <v>387</v>
      </c>
      <c r="D43" s="280"/>
      <c r="E43" s="280"/>
      <c r="F43" s="280"/>
      <c r="G43" s="280"/>
      <c r="H43" s="280"/>
      <c r="I43" s="280"/>
      <c r="J43" s="280"/>
      <c r="K43" s="165"/>
      <c r="O43" s="222"/>
    </row>
    <row r="44" spans="2:15">
      <c r="B44" s="221"/>
      <c r="O44" s="222"/>
    </row>
    <row r="45" spans="2:15">
      <c r="B45" s="221"/>
      <c r="C45"/>
      <c r="D45"/>
      <c r="E45"/>
      <c r="F45"/>
      <c r="G45"/>
      <c r="H45"/>
      <c r="I45"/>
      <c r="J45"/>
      <c r="O45" s="222"/>
    </row>
    <row r="46" spans="2:15" ht="65" customHeight="1">
      <c r="B46" s="221"/>
      <c r="C46"/>
      <c r="D46"/>
      <c r="E46"/>
      <c r="F46"/>
      <c r="G46"/>
      <c r="H46"/>
      <c r="I46"/>
      <c r="J46"/>
      <c r="O46" s="222"/>
    </row>
    <row r="47" spans="2:15" ht="30.75" customHeight="1" thickBot="1">
      <c r="B47" s="221"/>
      <c r="C47" s="237" t="s">
        <v>358</v>
      </c>
      <c r="D47" s="237"/>
      <c r="E47" s="237" t="s">
        <v>359</v>
      </c>
      <c r="F47" s="237"/>
      <c r="G47" s="165"/>
      <c r="H47" s="165"/>
      <c r="I47" s="165"/>
      <c r="J47" s="165"/>
      <c r="O47" s="222"/>
    </row>
    <row r="48" spans="2:15" ht="19" customHeight="1" thickTop="1">
      <c r="B48" s="221"/>
      <c r="C48" s="238" t="s">
        <v>360</v>
      </c>
      <c r="D48" s="238"/>
      <c r="E48" s="241">
        <f>Alt_Fuel_GGE</f>
        <v>0</v>
      </c>
      <c r="F48" s="241"/>
      <c r="G48" s="165"/>
      <c r="H48" s="165"/>
      <c r="I48" s="165"/>
      <c r="J48" s="165"/>
      <c r="O48" s="222"/>
    </row>
    <row r="49" spans="2:15" ht="19" customHeight="1">
      <c r="B49" s="221"/>
      <c r="C49" s="239" t="s">
        <v>367</v>
      </c>
      <c r="D49" s="239"/>
      <c r="E49" s="235">
        <f>PHEV_GGE</f>
        <v>0</v>
      </c>
      <c r="F49" s="235"/>
      <c r="G49" s="165"/>
      <c r="H49" s="165"/>
      <c r="I49" s="165"/>
      <c r="J49" s="165"/>
      <c r="O49" s="222"/>
    </row>
    <row r="50" spans="2:15" ht="19" customHeight="1">
      <c r="B50" s="221"/>
      <c r="C50" s="239" t="s">
        <v>361</v>
      </c>
      <c r="D50" s="239"/>
      <c r="E50" s="235">
        <f>Biodiesel_GGE</f>
        <v>0</v>
      </c>
      <c r="F50" s="235"/>
      <c r="G50" s="165"/>
      <c r="H50" s="165"/>
      <c r="I50" s="165"/>
      <c r="J50" s="165"/>
      <c r="O50" s="222"/>
    </row>
    <row r="51" spans="2:15" ht="21" customHeight="1">
      <c r="B51" s="221"/>
      <c r="C51" s="239" t="s">
        <v>362</v>
      </c>
      <c r="D51" s="239"/>
      <c r="E51" s="235">
        <f>Replace_vehicles_GGE</f>
        <v>0</v>
      </c>
      <c r="F51" s="235"/>
      <c r="G51" s="165"/>
      <c r="H51" s="165"/>
      <c r="I51" s="165"/>
      <c r="J51" s="165"/>
      <c r="O51" s="222"/>
    </row>
    <row r="52" spans="2:15" ht="19">
      <c r="B52" s="221"/>
      <c r="C52" s="239" t="s">
        <v>363</v>
      </c>
      <c r="D52" s="239"/>
      <c r="E52" s="235">
        <f>VMT_GGE</f>
        <v>0</v>
      </c>
      <c r="F52" s="235"/>
      <c r="G52" s="165"/>
      <c r="H52" s="165"/>
      <c r="I52" s="165"/>
      <c r="J52" s="165"/>
      <c r="O52" s="222"/>
    </row>
    <row r="53" spans="2:15" ht="18.75" customHeight="1">
      <c r="B53" s="221"/>
      <c r="C53" s="239" t="s">
        <v>364</v>
      </c>
      <c r="D53" s="239"/>
      <c r="E53" s="235">
        <f>TruckStopIR_GGE</f>
        <v>0</v>
      </c>
      <c r="F53" s="235"/>
      <c r="G53" s="165"/>
      <c r="H53" s="165"/>
      <c r="I53" s="165"/>
      <c r="J53" s="165"/>
      <c r="O53" s="222"/>
    </row>
    <row r="54" spans="2:15" ht="19">
      <c r="B54" s="221"/>
      <c r="C54" s="239" t="s">
        <v>365</v>
      </c>
      <c r="D54" s="239"/>
      <c r="E54" s="235">
        <f>VehicleIR_GGE</f>
        <v>0</v>
      </c>
      <c r="F54" s="235"/>
      <c r="G54" s="165"/>
      <c r="H54" s="165"/>
      <c r="I54" s="165"/>
      <c r="J54" s="165"/>
      <c r="O54" s="222"/>
    </row>
    <row r="55" spans="2:15" ht="20" thickBot="1">
      <c r="B55" s="221"/>
      <c r="C55" s="240" t="s">
        <v>366</v>
      </c>
      <c r="D55" s="240"/>
      <c r="E55" s="236">
        <f>OnboardIR_GGE</f>
        <v>0</v>
      </c>
      <c r="F55" s="236"/>
      <c r="G55" s="165"/>
      <c r="H55" s="165"/>
      <c r="I55" s="165"/>
      <c r="J55" s="165"/>
      <c r="O55" s="222"/>
    </row>
    <row r="56" spans="2:15" ht="20">
      <c r="B56" s="221"/>
      <c r="C56" s="229" t="s">
        <v>495</v>
      </c>
      <c r="D56" s="165"/>
      <c r="E56" s="165"/>
      <c r="F56" s="230">
        <f>SUM(E48:F55)</f>
        <v>0</v>
      </c>
      <c r="G56" s="165"/>
      <c r="H56" s="165"/>
      <c r="I56" s="165"/>
      <c r="J56" s="165"/>
      <c r="O56" s="222"/>
    </row>
    <row r="57" spans="2:15">
      <c r="B57" s="221"/>
      <c r="C57" s="165"/>
      <c r="D57" s="165"/>
      <c r="E57" s="165"/>
      <c r="F57" s="165"/>
      <c r="G57" s="165"/>
      <c r="H57" s="165"/>
      <c r="I57" s="165"/>
      <c r="J57" s="165"/>
      <c r="O57" s="222"/>
    </row>
    <row r="58" spans="2:15">
      <c r="B58" s="221"/>
      <c r="C58" s="165"/>
      <c r="D58" s="165"/>
      <c r="E58" s="165"/>
      <c r="F58" s="165"/>
      <c r="G58" s="165"/>
      <c r="H58" s="165"/>
      <c r="I58" s="165"/>
      <c r="J58" s="165"/>
      <c r="O58" s="222"/>
    </row>
    <row r="59" spans="2:15">
      <c r="B59" s="221"/>
      <c r="C59" s="165"/>
      <c r="D59" s="165"/>
      <c r="E59" s="165"/>
      <c r="F59" s="165"/>
      <c r="G59" s="165"/>
      <c r="H59" s="165"/>
      <c r="I59" s="165"/>
      <c r="J59" s="165"/>
      <c r="O59" s="222"/>
    </row>
    <row r="60" spans="2:15">
      <c r="B60" s="221"/>
      <c r="C60" s="165"/>
      <c r="D60" s="165"/>
      <c r="E60" s="165"/>
      <c r="F60" s="165"/>
      <c r="G60" s="165"/>
      <c r="H60" s="165"/>
      <c r="I60" s="165"/>
      <c r="J60" s="165"/>
      <c r="O60" s="222"/>
    </row>
    <row r="61" spans="2:15">
      <c r="B61" s="221"/>
      <c r="C61" s="165"/>
      <c r="D61" s="165"/>
      <c r="E61" s="165"/>
      <c r="F61" s="165"/>
      <c r="G61" s="165"/>
      <c r="H61" s="165"/>
      <c r="I61" s="165"/>
      <c r="J61" s="165"/>
      <c r="O61" s="222"/>
    </row>
    <row r="62" spans="2:15">
      <c r="B62" s="221"/>
      <c r="C62" s="165"/>
      <c r="D62" s="165"/>
      <c r="E62" s="165"/>
      <c r="F62" s="165"/>
      <c r="G62" s="165"/>
      <c r="H62" s="165"/>
      <c r="I62" s="165"/>
      <c r="J62" s="165"/>
      <c r="O62" s="222"/>
    </row>
    <row r="63" spans="2:15">
      <c r="B63" s="221"/>
      <c r="C63" s="165"/>
      <c r="D63" s="165"/>
      <c r="E63" s="165"/>
      <c r="F63" s="165"/>
      <c r="G63" s="165"/>
      <c r="H63" s="165"/>
      <c r="I63" s="165"/>
      <c r="J63" s="165"/>
      <c r="O63" s="222"/>
    </row>
    <row r="64" spans="2:15">
      <c r="B64" s="221"/>
      <c r="C64" s="165"/>
      <c r="D64" s="165"/>
      <c r="E64" s="165"/>
      <c r="F64" s="165"/>
      <c r="G64" s="165"/>
      <c r="H64" s="165"/>
      <c r="I64" s="165"/>
      <c r="J64" s="165"/>
      <c r="O64" s="222"/>
    </row>
    <row r="65" spans="2:15">
      <c r="B65" s="221"/>
      <c r="C65" s="165"/>
      <c r="D65" s="165"/>
      <c r="E65" s="165"/>
      <c r="F65" s="165"/>
      <c r="G65" s="165"/>
      <c r="H65" s="165"/>
      <c r="I65" s="165"/>
      <c r="J65" s="165"/>
      <c r="O65" s="222"/>
    </row>
    <row r="66" spans="2:15">
      <c r="B66" s="221"/>
      <c r="C66" s="165"/>
      <c r="D66" s="165"/>
      <c r="E66" s="165"/>
      <c r="F66" s="165"/>
      <c r="G66" s="165"/>
      <c r="H66" s="165"/>
      <c r="I66" s="165"/>
      <c r="J66" s="165"/>
      <c r="O66" s="222"/>
    </row>
    <row r="67" spans="2:15">
      <c r="B67" s="221"/>
      <c r="O67" s="222"/>
    </row>
    <row r="68" spans="2:15">
      <c r="B68" s="221"/>
      <c r="O68" s="222"/>
    </row>
    <row r="69" spans="2:15">
      <c r="B69" s="221"/>
      <c r="O69" s="222"/>
    </row>
    <row r="70" spans="2:15">
      <c r="B70" s="221"/>
      <c r="O70" s="222"/>
    </row>
    <row r="71" spans="2:15">
      <c r="B71" s="221"/>
      <c r="O71" s="222"/>
    </row>
    <row r="72" spans="2:15">
      <c r="B72" s="221"/>
      <c r="O72" s="222"/>
    </row>
    <row r="73" spans="2:15">
      <c r="B73" s="221"/>
      <c r="O73" s="222"/>
    </row>
    <row r="74" spans="2:15">
      <c r="B74" s="221"/>
      <c r="O74" s="222"/>
    </row>
    <row r="75" spans="2:15" ht="17" thickBot="1">
      <c r="B75" s="212"/>
      <c r="C75" s="213"/>
      <c r="D75" s="213"/>
      <c r="E75" s="213"/>
      <c r="F75" s="213"/>
      <c r="G75" s="213"/>
      <c r="H75" s="213"/>
      <c r="I75" s="213"/>
      <c r="J75" s="213"/>
      <c r="K75" s="213"/>
      <c r="L75" s="213"/>
      <c r="M75" s="213"/>
      <c r="N75" s="213"/>
      <c r="O75" s="231"/>
    </row>
  </sheetData>
  <sheetProtection formatColumns="0" formatRows="0"/>
  <mergeCells count="78">
    <mergeCell ref="C43:J43"/>
    <mergeCell ref="C35:D36"/>
    <mergeCell ref="G35:H35"/>
    <mergeCell ref="G36:H36"/>
    <mergeCell ref="G37:H37"/>
    <mergeCell ref="C39:D40"/>
    <mergeCell ref="C28:D28"/>
    <mergeCell ref="E28:F28"/>
    <mergeCell ref="H28:J28"/>
    <mergeCell ref="K28:N28"/>
    <mergeCell ref="C33:D33"/>
    <mergeCell ref="G33:H33"/>
    <mergeCell ref="H26:J26"/>
    <mergeCell ref="K26:N26"/>
    <mergeCell ref="C27:D27"/>
    <mergeCell ref="E27:F27"/>
    <mergeCell ref="H27:J27"/>
    <mergeCell ref="K27:N27"/>
    <mergeCell ref="K24:N24"/>
    <mergeCell ref="C25:D25"/>
    <mergeCell ref="E25:F25"/>
    <mergeCell ref="H25:J25"/>
    <mergeCell ref="K25:N25"/>
    <mergeCell ref="E21:F21"/>
    <mergeCell ref="H21:J21"/>
    <mergeCell ref="K21:N21"/>
    <mergeCell ref="K22:N22"/>
    <mergeCell ref="C23:D23"/>
    <mergeCell ref="E23:F23"/>
    <mergeCell ref="H23:J23"/>
    <mergeCell ref="K23:N23"/>
    <mergeCell ref="H24:J24"/>
    <mergeCell ref="C26:D26"/>
    <mergeCell ref="E26:F26"/>
    <mergeCell ref="K19:N19"/>
    <mergeCell ref="C10:F10"/>
    <mergeCell ref="D11:F11"/>
    <mergeCell ref="D12:F12"/>
    <mergeCell ref="D13:F13"/>
    <mergeCell ref="D14:F14"/>
    <mergeCell ref="D15:F15"/>
    <mergeCell ref="C18:D18"/>
    <mergeCell ref="E18:F18"/>
    <mergeCell ref="H18:J18"/>
    <mergeCell ref="K18:N18"/>
    <mergeCell ref="K20:N20"/>
    <mergeCell ref="C21:D21"/>
    <mergeCell ref="E55:F55"/>
    <mergeCell ref="C47:D47"/>
    <mergeCell ref="C48:D48"/>
    <mergeCell ref="C49:D49"/>
    <mergeCell ref="C50:D50"/>
    <mergeCell ref="C51:D51"/>
    <mergeCell ref="C52:D52"/>
    <mergeCell ref="C53:D53"/>
    <mergeCell ref="C54:D54"/>
    <mergeCell ref="C55:D55"/>
    <mergeCell ref="E47:F47"/>
    <mergeCell ref="E48:F48"/>
    <mergeCell ref="E49:F49"/>
    <mergeCell ref="E50:F50"/>
    <mergeCell ref="E51:F51"/>
    <mergeCell ref="C3:O3"/>
    <mergeCell ref="D4:N6"/>
    <mergeCell ref="E52:F52"/>
    <mergeCell ref="E53:F53"/>
    <mergeCell ref="E54:F54"/>
    <mergeCell ref="C19:D19"/>
    <mergeCell ref="E19:F19"/>
    <mergeCell ref="H19:J19"/>
    <mergeCell ref="C20:D20"/>
    <mergeCell ref="E20:F20"/>
    <mergeCell ref="H20:J20"/>
    <mergeCell ref="C22:D22"/>
    <mergeCell ref="E22:F22"/>
    <mergeCell ref="H22:J22"/>
    <mergeCell ref="C24:D24"/>
    <mergeCell ref="E24:F24"/>
  </mergeCells>
  <dataValidations count="6">
    <dataValidation allowBlank="1" showInputMessage="1" showErrorMessage="1" promptTitle="Gallons Gasoline Equivalent GGE" prompt="Fleets must convert the volume of non-gasoline fuels used in diesel or AFVs to GGE and add this value to the fleet's use of gasoline. _x000d_Value calculated once for the fleet's first year AC. _x000d_Used to calculate the fleet's fuel-use requirement thereafter" sqref="G36:H36" xr:uid="{00000000-0002-0000-0000-000000000000}"/>
    <dataValidation allowBlank="1" showInputMessage="1" showErrorMessage="1" prompt="DOE will consider adjustments to this value given sufficient rationale by the fleet._x000d_To avoid double-counting the impact of petroleum reduction measures, changes to this value cannot be made based on petroleum reduction measures used in previous AC years" sqref="G37:H37" xr:uid="{00000000-0002-0000-0000-000001000000}"/>
    <dataValidation allowBlank="1" showInputMessage="1" showErrorMessage="1" promptTitle="Average Fuel Use" prompt="Average fuel use is the average amount of fuel (in gasoline gallon equivalents) used annually in light-duty vehicles (conventional and alternative fuel) covered under the Standard Compliance rules of the Energy Policy Act of 1992." sqref="G35:H35" xr:uid="{00000000-0002-0000-0000-000002000000}"/>
    <dataValidation allowBlank="1" showInputMessage="1" showErrorMessage="1" promptTitle="ACV Inventory" prompt="The number used here must be the same as the ACV Inventory Total at the top of your fleet's ACV inventory spreadsheet." sqref="G33:H33" xr:uid="{00000000-0002-0000-0000-000003000000}"/>
    <dataValidation allowBlank="1" showInputMessage="1" showErrorMessage="1" prompt="This is the number of alternative compliance vehicles that will be in your fleet for any part of the waiver model year and have not been retired from your ACV inventory due to banked credits" sqref="E33" xr:uid="{00000000-0002-0000-0000-000004000000}"/>
    <dataValidation type="list" allowBlank="1" showInputMessage="1" showErrorMessage="1" prompt="(P) Alternative Fuel Provider (S) State Agency  (B) Biodiesel Fuel Provider" sqref="E22:F22" xr:uid="{00000000-0002-0000-0000-000005000000}">
      <formula1>"P, S, B"</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7AAE-3DED-7146-B8E7-E55C9F8C60CB}">
  <dimension ref="C5:C47"/>
  <sheetViews>
    <sheetView workbookViewId="0">
      <selection activeCell="C5" sqref="C5:C47"/>
    </sheetView>
  </sheetViews>
  <sheetFormatPr baseColWidth="10" defaultRowHeight="16"/>
  <sheetData>
    <row r="5" spans="3:3">
      <c r="C5" s="202" t="s">
        <v>453</v>
      </c>
    </row>
    <row r="6" spans="3:3">
      <c r="C6" s="202"/>
    </row>
    <row r="7" spans="3:3">
      <c r="C7" s="202" t="s">
        <v>454</v>
      </c>
    </row>
    <row r="8" spans="3:3">
      <c r="C8" s="202" t="s">
        <v>455</v>
      </c>
    </row>
    <row r="9" spans="3:3">
      <c r="C9" s="202" t="s">
        <v>456</v>
      </c>
    </row>
    <row r="10" spans="3:3">
      <c r="C10" s="202" t="s">
        <v>457</v>
      </c>
    </row>
    <row r="11" spans="3:3">
      <c r="C11" s="202" t="s">
        <v>458</v>
      </c>
    </row>
    <row r="12" spans="3:3">
      <c r="C12" s="202" t="s">
        <v>459</v>
      </c>
    </row>
    <row r="13" spans="3:3">
      <c r="C13" s="202" t="s">
        <v>460</v>
      </c>
    </row>
    <row r="14" spans="3:3">
      <c r="C14" s="202" t="s">
        <v>461</v>
      </c>
    </row>
    <row r="15" spans="3:3">
      <c r="C15" s="202" t="s">
        <v>462</v>
      </c>
    </row>
    <row r="16" spans="3:3">
      <c r="C16" s="202" t="s">
        <v>463</v>
      </c>
    </row>
    <row r="17" spans="3:3">
      <c r="C17" s="202" t="s">
        <v>464</v>
      </c>
    </row>
    <row r="18" spans="3:3">
      <c r="C18" s="202" t="s">
        <v>465</v>
      </c>
    </row>
    <row r="19" spans="3:3">
      <c r="C19" s="202" t="s">
        <v>466</v>
      </c>
    </row>
    <row r="20" spans="3:3">
      <c r="C20" s="202" t="s">
        <v>467</v>
      </c>
    </row>
    <row r="21" spans="3:3">
      <c r="C21" s="202" t="s">
        <v>468</v>
      </c>
    </row>
    <row r="22" spans="3:3">
      <c r="C22" s="202" t="s">
        <v>469</v>
      </c>
    </row>
    <row r="23" spans="3:3">
      <c r="C23" s="202" t="s">
        <v>470</v>
      </c>
    </row>
    <row r="24" spans="3:3">
      <c r="C24" s="202" t="s">
        <v>471</v>
      </c>
    </row>
    <row r="25" spans="3:3">
      <c r="C25" s="202" t="s">
        <v>472</v>
      </c>
    </row>
    <row r="26" spans="3:3">
      <c r="C26" s="202" t="s">
        <v>473</v>
      </c>
    </row>
    <row r="27" spans="3:3">
      <c r="C27" s="202" t="s">
        <v>474</v>
      </c>
    </row>
    <row r="28" spans="3:3">
      <c r="C28" s="202" t="s">
        <v>475</v>
      </c>
    </row>
    <row r="29" spans="3:3">
      <c r="C29" s="202" t="s">
        <v>476</v>
      </c>
    </row>
    <row r="30" spans="3:3">
      <c r="C30" s="202" t="s">
        <v>477</v>
      </c>
    </row>
    <row r="31" spans="3:3">
      <c r="C31" s="202" t="s">
        <v>478</v>
      </c>
    </row>
    <row r="32" spans="3:3">
      <c r="C32" s="202" t="s">
        <v>479</v>
      </c>
    </row>
    <row r="33" spans="3:3">
      <c r="C33" s="202" t="s">
        <v>480</v>
      </c>
    </row>
    <row r="34" spans="3:3">
      <c r="C34" s="202" t="s">
        <v>481</v>
      </c>
    </row>
    <row r="35" spans="3:3">
      <c r="C35" s="202" t="s">
        <v>482</v>
      </c>
    </row>
    <row r="36" spans="3:3">
      <c r="C36" s="202" t="s">
        <v>483</v>
      </c>
    </row>
    <row r="37" spans="3:3">
      <c r="C37" s="202" t="s">
        <v>484</v>
      </c>
    </row>
    <row r="38" spans="3:3">
      <c r="C38" s="202" t="s">
        <v>485</v>
      </c>
    </row>
    <row r="39" spans="3:3">
      <c r="C39" s="202" t="s">
        <v>486</v>
      </c>
    </row>
    <row r="40" spans="3:3">
      <c r="C40" s="202" t="s">
        <v>487</v>
      </c>
    </row>
    <row r="41" spans="3:3">
      <c r="C41" s="202" t="s">
        <v>488</v>
      </c>
    </row>
    <row r="42" spans="3:3">
      <c r="C42" s="202" t="s">
        <v>489</v>
      </c>
    </row>
    <row r="43" spans="3:3">
      <c r="C43" s="202" t="s">
        <v>490</v>
      </c>
    </row>
    <row r="44" spans="3:3">
      <c r="C44" s="202" t="s">
        <v>491</v>
      </c>
    </row>
    <row r="45" spans="3:3">
      <c r="C45" s="202" t="s">
        <v>492</v>
      </c>
    </row>
    <row r="46" spans="3:3">
      <c r="C46" s="202" t="s">
        <v>493</v>
      </c>
    </row>
    <row r="47" spans="3:3">
      <c r="C47" s="202" t="s">
        <v>494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C2:AF264"/>
  <sheetViews>
    <sheetView topLeftCell="I40" zoomScale="110" zoomScaleNormal="110" workbookViewId="0">
      <selection activeCell="K50" sqref="K50"/>
    </sheetView>
  </sheetViews>
  <sheetFormatPr baseColWidth="10" defaultColWidth="11" defaultRowHeight="16"/>
  <cols>
    <col min="3" max="3" width="34.33203125" customWidth="1"/>
    <col min="4" max="4" width="17.6640625" customWidth="1"/>
    <col min="5" max="5" width="18.6640625" customWidth="1"/>
    <col min="6" max="6" width="36.6640625" customWidth="1"/>
    <col min="7" max="7" width="55" customWidth="1"/>
    <col min="8" max="8" width="16.5" customWidth="1"/>
    <col min="9" max="9" width="15.1640625" customWidth="1"/>
    <col min="10" max="10" width="60.33203125" customWidth="1"/>
    <col min="11" max="11" width="15.1640625" customWidth="1"/>
    <col min="12" max="12" width="25.6640625" customWidth="1"/>
    <col min="13" max="13" width="69.5" customWidth="1"/>
    <col min="14" max="14" width="22.83203125" customWidth="1"/>
    <col min="15" max="15" width="15" customWidth="1"/>
    <col min="16" max="16" width="14.6640625" customWidth="1"/>
    <col min="17" max="17" width="14.83203125" customWidth="1"/>
    <col min="18" max="18" width="14.1640625" customWidth="1"/>
    <col min="20" max="20" width="22.83203125" customWidth="1"/>
    <col min="21" max="21" width="14.33203125" customWidth="1"/>
    <col min="23" max="23" width="15.6640625" customWidth="1"/>
    <col min="24" max="24" width="18.5" customWidth="1"/>
    <col min="26" max="26" width="27.83203125" customWidth="1"/>
    <col min="27" max="27" width="13.5" customWidth="1"/>
  </cols>
  <sheetData>
    <row r="2" spans="3:10">
      <c r="C2" t="s">
        <v>248</v>
      </c>
    </row>
    <row r="5" spans="3:10" ht="17" thickBot="1">
      <c r="C5" s="24" t="s">
        <v>306</v>
      </c>
      <c r="J5" t="s">
        <v>297</v>
      </c>
    </row>
    <row r="6" spans="3:10" ht="31" thickBot="1">
      <c r="C6" s="10" t="s">
        <v>37</v>
      </c>
      <c r="D6" s="11" t="s">
        <v>3</v>
      </c>
      <c r="E6" s="12" t="s">
        <v>4</v>
      </c>
      <c r="F6" s="13" t="s">
        <v>5</v>
      </c>
      <c r="H6">
        <f>5*25655*0.9/7.8*0.5*1.066</f>
        <v>7888.9125000000004</v>
      </c>
    </row>
    <row r="7" spans="3:10" ht="19" thickBot="1">
      <c r="C7" s="2" t="s">
        <v>6</v>
      </c>
      <c r="D7" s="3" t="s">
        <v>7</v>
      </c>
      <c r="E7" s="4">
        <v>1.0660000000000001</v>
      </c>
      <c r="F7" s="5" t="s">
        <v>19</v>
      </c>
    </row>
    <row r="8" spans="3:10" ht="19" thickBot="1">
      <c r="C8" s="2" t="s">
        <v>31</v>
      </c>
      <c r="D8" s="3" t="s">
        <v>8</v>
      </c>
      <c r="E8" s="4">
        <v>0.191</v>
      </c>
      <c r="F8" s="5" t="s">
        <v>20</v>
      </c>
    </row>
    <row r="9" spans="3:10" ht="19" thickBot="1">
      <c r="C9" s="2" t="s">
        <v>32</v>
      </c>
      <c r="D9" s="3" t="s">
        <v>9</v>
      </c>
      <c r="E9" s="4">
        <v>0.28699999999999998</v>
      </c>
      <c r="F9" s="5" t="s">
        <v>21</v>
      </c>
    </row>
    <row r="10" spans="3:10" ht="19" thickBot="1">
      <c r="C10" s="2" t="s">
        <v>33</v>
      </c>
      <c r="D10" s="3" t="s">
        <v>10</v>
      </c>
      <c r="E10" s="4">
        <v>0.23899999999999999</v>
      </c>
      <c r="F10" s="5" t="s">
        <v>22</v>
      </c>
    </row>
    <row r="11" spans="3:10" ht="19" thickBot="1">
      <c r="C11" s="2" t="s">
        <v>34</v>
      </c>
      <c r="D11" s="3" t="s">
        <v>11</v>
      </c>
      <c r="E11" s="4">
        <v>0.877</v>
      </c>
      <c r="F11" s="5" t="s">
        <v>23</v>
      </c>
    </row>
    <row r="12" spans="3:10" ht="19" thickBot="1">
      <c r="C12" s="2" t="s">
        <v>12</v>
      </c>
      <c r="D12" s="3" t="s">
        <v>7</v>
      </c>
      <c r="E12" s="4">
        <v>1.155</v>
      </c>
      <c r="F12" s="5" t="s">
        <v>24</v>
      </c>
    </row>
    <row r="13" spans="3:10" ht="19" thickBot="1">
      <c r="C13" s="2" t="s">
        <v>47</v>
      </c>
      <c r="D13" s="3" t="s">
        <v>7</v>
      </c>
      <c r="E13" s="4">
        <v>0.73399999999999999</v>
      </c>
      <c r="F13" s="5" t="s">
        <v>25</v>
      </c>
    </row>
    <row r="14" spans="3:10" ht="19" thickBot="1">
      <c r="C14" s="2" t="s">
        <v>35</v>
      </c>
      <c r="D14" s="3" t="s">
        <v>13</v>
      </c>
      <c r="E14" s="4">
        <v>3.1E-2</v>
      </c>
      <c r="F14" s="5" t="s">
        <v>26</v>
      </c>
    </row>
    <row r="15" spans="3:10" ht="19" thickBot="1">
      <c r="C15" s="2" t="s">
        <v>14</v>
      </c>
      <c r="D15" s="3" t="s">
        <v>7</v>
      </c>
      <c r="E15" s="4">
        <v>1</v>
      </c>
      <c r="F15" s="5" t="s">
        <v>15</v>
      </c>
    </row>
    <row r="16" spans="3:10" ht="19" thickBot="1">
      <c r="C16" s="2" t="s">
        <v>45</v>
      </c>
      <c r="D16" s="3" t="s">
        <v>16</v>
      </c>
      <c r="E16" s="4">
        <v>1.0189999999999999</v>
      </c>
      <c r="F16" s="5" t="s">
        <v>27</v>
      </c>
    </row>
    <row r="17" spans="3:15" ht="19" thickBot="1">
      <c r="C17" s="2" t="s">
        <v>46</v>
      </c>
      <c r="D17" s="3" t="s">
        <v>7</v>
      </c>
      <c r="E17" s="4">
        <v>0.25600000000000001</v>
      </c>
      <c r="F17" s="5" t="s">
        <v>28</v>
      </c>
      <c r="J17" t="s">
        <v>249</v>
      </c>
    </row>
    <row r="18" spans="3:15" ht="37" thickBot="1">
      <c r="C18" s="2" t="s">
        <v>17</v>
      </c>
      <c r="D18" s="3" t="s">
        <v>36</v>
      </c>
      <c r="E18" s="4">
        <v>0.66600000000000004</v>
      </c>
      <c r="F18" s="5" t="s">
        <v>29</v>
      </c>
    </row>
    <row r="19" spans="3:15" ht="19" thickBot="1">
      <c r="C19" s="6" t="s">
        <v>18</v>
      </c>
      <c r="D19" s="7" t="s">
        <v>7</v>
      </c>
      <c r="E19" s="8">
        <v>0.75800000000000001</v>
      </c>
      <c r="F19" s="9" t="s">
        <v>30</v>
      </c>
    </row>
    <row r="20" spans="3:15" ht="19" thickBot="1">
      <c r="C20" s="6" t="s">
        <v>42</v>
      </c>
      <c r="D20" s="7" t="s">
        <v>44</v>
      </c>
      <c r="E20" s="8"/>
      <c r="F20" s="9"/>
    </row>
    <row r="21" spans="3:15" ht="17">
      <c r="C21" s="20"/>
      <c r="D21" s="20"/>
      <c r="E21" s="74"/>
      <c r="F21" s="20"/>
    </row>
    <row r="22" spans="3:15" ht="18">
      <c r="C22" s="75" t="s">
        <v>305</v>
      </c>
    </row>
    <row r="23" spans="3:15" ht="17" thickBot="1">
      <c r="C23" s="17" t="s">
        <v>38</v>
      </c>
      <c r="D23" s="18" t="s">
        <v>39</v>
      </c>
      <c r="E23" s="21" t="s">
        <v>69</v>
      </c>
      <c r="G23" s="24" t="s">
        <v>70</v>
      </c>
    </row>
    <row r="24" spans="3:15" ht="19" thickBot="1">
      <c r="C24" s="3" t="s">
        <v>1</v>
      </c>
      <c r="D24" s="16" t="s">
        <v>40</v>
      </c>
      <c r="E24" s="23" t="s">
        <v>71</v>
      </c>
      <c r="G24" t="s">
        <v>71</v>
      </c>
      <c r="H24" s="22">
        <v>1</v>
      </c>
    </row>
    <row r="25" spans="3:15" ht="19" thickBot="1">
      <c r="C25" s="3" t="s">
        <v>2</v>
      </c>
      <c r="D25" s="16" t="s">
        <v>47</v>
      </c>
      <c r="E25" s="23" t="s">
        <v>74</v>
      </c>
      <c r="G25" t="s">
        <v>72</v>
      </c>
      <c r="H25" s="22">
        <v>0</v>
      </c>
    </row>
    <row r="26" spans="3:15" ht="17.25" customHeight="1" thickBot="1">
      <c r="C26" s="3" t="s">
        <v>68</v>
      </c>
      <c r="D26" s="16" t="s">
        <v>35</v>
      </c>
      <c r="E26" s="23" t="s">
        <v>71</v>
      </c>
      <c r="G26" t="s">
        <v>73</v>
      </c>
      <c r="H26" s="22">
        <v>0.40600000000000003</v>
      </c>
      <c r="I26" t="s">
        <v>298</v>
      </c>
      <c r="J26" s="303" t="s">
        <v>250</v>
      </c>
      <c r="K26" s="303"/>
      <c r="L26" s="303"/>
      <c r="M26" s="303"/>
      <c r="N26" s="303"/>
      <c r="O26" s="303"/>
    </row>
    <row r="27" spans="3:15" ht="19" thickBot="1">
      <c r="C27" s="3" t="s">
        <v>41</v>
      </c>
      <c r="D27" s="16" t="s">
        <v>43</v>
      </c>
      <c r="E27" s="23" t="s">
        <v>71</v>
      </c>
      <c r="G27" t="s">
        <v>74</v>
      </c>
      <c r="H27" s="22"/>
      <c r="J27" s="303"/>
      <c r="K27" s="303"/>
      <c r="L27" s="303"/>
      <c r="M27" s="303"/>
      <c r="N27" s="303"/>
      <c r="O27" s="303"/>
    </row>
    <row r="28" spans="3:15" ht="19" thickBot="1">
      <c r="C28" s="3" t="s">
        <v>42</v>
      </c>
      <c r="D28" s="16" t="s">
        <v>42</v>
      </c>
      <c r="E28" s="23" t="s">
        <v>71</v>
      </c>
      <c r="J28" s="303"/>
      <c r="K28" s="303"/>
      <c r="L28" s="303"/>
      <c r="M28" s="303"/>
      <c r="N28" s="303"/>
      <c r="O28" s="303"/>
    </row>
    <row r="29" spans="3:15" ht="19" thickBot="1">
      <c r="C29" s="3" t="s">
        <v>17</v>
      </c>
      <c r="D29" s="16" t="s">
        <v>17</v>
      </c>
      <c r="E29" s="23" t="s">
        <v>71</v>
      </c>
      <c r="J29" s="303"/>
      <c r="K29" s="303"/>
      <c r="L29" s="303"/>
      <c r="M29" s="303"/>
      <c r="N29" s="303"/>
      <c r="O29" s="303"/>
    </row>
    <row r="30" spans="3:15" ht="19" thickBot="1">
      <c r="C30" s="19" t="s">
        <v>18</v>
      </c>
      <c r="D30" s="16" t="s">
        <v>18</v>
      </c>
      <c r="E30" s="23" t="s">
        <v>71</v>
      </c>
      <c r="J30" s="179"/>
      <c r="K30" s="179"/>
      <c r="L30" s="179"/>
      <c r="M30" s="179"/>
      <c r="N30" s="179"/>
      <c r="O30" s="179"/>
    </row>
    <row r="31" spans="3:15" ht="66" customHeight="1" thickBot="1">
      <c r="J31" s="303" t="s">
        <v>251</v>
      </c>
      <c r="K31" s="303"/>
      <c r="L31" s="303"/>
      <c r="M31" s="303"/>
      <c r="N31" s="303"/>
      <c r="O31" s="303"/>
    </row>
    <row r="32" spans="3:15" ht="17" thickBot="1">
      <c r="C32" s="10" t="s">
        <v>40</v>
      </c>
      <c r="F32" s="10" t="s">
        <v>67</v>
      </c>
      <c r="G32" s="11" t="s">
        <v>39</v>
      </c>
      <c r="J32" s="179"/>
      <c r="K32" s="179"/>
      <c r="L32" s="179"/>
      <c r="M32" s="179"/>
      <c r="N32" s="179"/>
      <c r="O32" s="179"/>
    </row>
    <row r="33" spans="3:27" ht="19" thickBot="1">
      <c r="C33" s="2" t="s">
        <v>31</v>
      </c>
      <c r="F33" s="3" t="s">
        <v>14</v>
      </c>
      <c r="G33" s="3" t="s">
        <v>14</v>
      </c>
      <c r="J33" s="179"/>
      <c r="K33" s="179"/>
      <c r="L33" s="179"/>
      <c r="M33" s="179"/>
      <c r="N33" s="179"/>
      <c r="O33" s="179"/>
    </row>
    <row r="34" spans="3:27" ht="19" thickBot="1">
      <c r="C34" s="2" t="s">
        <v>32</v>
      </c>
      <c r="F34" s="3" t="s">
        <v>12</v>
      </c>
      <c r="G34" s="3" t="s">
        <v>12</v>
      </c>
    </row>
    <row r="35" spans="3:27" ht="19" thickBot="1">
      <c r="C35" s="2" t="s">
        <v>33</v>
      </c>
      <c r="P35" s="207"/>
    </row>
    <row r="36" spans="3:27" ht="19" thickBot="1">
      <c r="C36" s="2" t="s">
        <v>34</v>
      </c>
      <c r="J36" s="25" t="s">
        <v>439</v>
      </c>
      <c r="K36" s="199" t="s">
        <v>446</v>
      </c>
    </row>
    <row r="37" spans="3:27" ht="32" customHeight="1" thickBot="1">
      <c r="J37" s="14" t="s">
        <v>450</v>
      </c>
      <c r="K37" s="30" t="s">
        <v>451</v>
      </c>
      <c r="L37" s="30" t="s">
        <v>522</v>
      </c>
      <c r="M37" s="30" t="s">
        <v>523</v>
      </c>
      <c r="N37" s="30" t="s">
        <v>530</v>
      </c>
      <c r="O37" s="30" t="s">
        <v>553</v>
      </c>
      <c r="P37" s="30" t="s">
        <v>548</v>
      </c>
      <c r="Q37" s="30" t="s">
        <v>554</v>
      </c>
      <c r="R37" s="30"/>
      <c r="U37" s="30" t="s">
        <v>509</v>
      </c>
      <c r="V37" s="14" t="s">
        <v>450</v>
      </c>
      <c r="Y37" s="30" t="s">
        <v>509</v>
      </c>
    </row>
    <row r="38" spans="3:27" ht="17" thickBot="1">
      <c r="C38" s="10" t="s">
        <v>43</v>
      </c>
      <c r="J38" t="s">
        <v>517</v>
      </c>
      <c r="K38" s="200">
        <v>0.49299999999999999</v>
      </c>
      <c r="L38" s="200">
        <v>0.23599999999999999</v>
      </c>
      <c r="M38" s="198">
        <f>$V$47*L38</f>
        <v>3.0679999999999996</v>
      </c>
      <c r="N38" s="198">
        <f>V38/Z40+V42</f>
        <v>4.5798564820792613</v>
      </c>
      <c r="O38" s="198">
        <f>V38/V51</f>
        <v>8.081766</v>
      </c>
      <c r="P38" s="207">
        <f>V38/V51</f>
        <v>8.081766</v>
      </c>
      <c r="Q38" s="22">
        <f>N38/$N$43</f>
        <v>0.39398171615436162</v>
      </c>
      <c r="R38" t="s">
        <v>536</v>
      </c>
      <c r="U38" s="25" t="s">
        <v>438</v>
      </c>
      <c r="V38">
        <v>23.8</v>
      </c>
      <c r="W38" t="s">
        <v>440</v>
      </c>
      <c r="Y38" t="s">
        <v>510</v>
      </c>
      <c r="Z38">
        <f>P80*DGGE</f>
        <v>1.0395000000000001</v>
      </c>
      <c r="AA38" t="s">
        <v>549</v>
      </c>
    </row>
    <row r="39" spans="3:27" ht="19" thickBot="1">
      <c r="C39" s="2" t="s">
        <v>45</v>
      </c>
      <c r="J39" t="s">
        <v>518</v>
      </c>
      <c r="K39" s="200">
        <v>2.5999999999999999E-2</v>
      </c>
      <c r="L39" s="200">
        <v>0.379</v>
      </c>
      <c r="M39" s="198">
        <f>$V$47*L39</f>
        <v>4.9269999999999996</v>
      </c>
      <c r="N39" s="198">
        <f>8.8/Z43*DGGE</f>
        <v>0.26991618641429549</v>
      </c>
      <c r="O39">
        <v>0</v>
      </c>
      <c r="P39">
        <v>0</v>
      </c>
      <c r="Q39" s="22">
        <f>N39/$N$43</f>
        <v>2.321951413924335E-2</v>
      </c>
      <c r="R39" t="s">
        <v>535</v>
      </c>
      <c r="U39" t="s">
        <v>441</v>
      </c>
      <c r="V39">
        <v>12.2</v>
      </c>
      <c r="W39" t="s">
        <v>448</v>
      </c>
      <c r="Y39" t="s">
        <v>511</v>
      </c>
      <c r="Z39">
        <f>Q80*DGGE</f>
        <v>1.7324999999999999</v>
      </c>
      <c r="AA39" t="s">
        <v>550</v>
      </c>
    </row>
    <row r="40" spans="3:27" ht="19" thickBot="1">
      <c r="C40" s="2" t="s">
        <v>46</v>
      </c>
      <c r="J40" t="s">
        <v>519</v>
      </c>
      <c r="K40" s="200">
        <v>0.33200000000000002</v>
      </c>
      <c r="L40" s="200">
        <v>0.13600000000000001</v>
      </c>
      <c r="M40" s="198">
        <f>$V$47*L40</f>
        <v>1.7680000000000002</v>
      </c>
      <c r="N40" s="198">
        <f>M40*Z39</f>
        <v>3.0630600000000001</v>
      </c>
      <c r="O40" s="207">
        <f>(M39+M40)*Z39</f>
        <v>11.5990875</v>
      </c>
      <c r="P40" s="207">
        <f>V49*(M39+M40)</f>
        <v>6.1861800000000002</v>
      </c>
      <c r="Q40" s="22">
        <f>N40/$N$43</f>
        <v>0.26349944375023182</v>
      </c>
      <c r="R40" t="s">
        <v>532</v>
      </c>
      <c r="U40" t="s">
        <v>442</v>
      </c>
      <c r="V40">
        <v>1.06</v>
      </c>
      <c r="Y40" t="s">
        <v>524</v>
      </c>
      <c r="Z40" s="198">
        <f>6.4/DGGE</f>
        <v>5.5411255411255409</v>
      </c>
      <c r="AA40" t="s">
        <v>551</v>
      </c>
    </row>
    <row r="41" spans="3:27" ht="17" thickBot="1">
      <c r="J41" t="s">
        <v>520</v>
      </c>
      <c r="K41" s="200">
        <v>1.4E-2</v>
      </c>
      <c r="L41" s="200">
        <v>2.1000000000000001E-2</v>
      </c>
      <c r="M41" s="198">
        <f>$V$47*L41</f>
        <v>0.27300000000000002</v>
      </c>
      <c r="N41" s="211">
        <f>M41/V43*V46</f>
        <v>0.63063000000000002</v>
      </c>
      <c r="O41">
        <v>0</v>
      </c>
      <c r="P41">
        <v>0</v>
      </c>
      <c r="Q41" s="22">
        <f>N41/$N$43</f>
        <v>5.4249885477988903E-2</v>
      </c>
      <c r="R41" t="s">
        <v>533</v>
      </c>
      <c r="U41" t="s">
        <v>443</v>
      </c>
      <c r="V41">
        <f>V39*V40</f>
        <v>12.932</v>
      </c>
      <c r="W41" t="s">
        <v>13</v>
      </c>
      <c r="Y41" t="s">
        <v>525</v>
      </c>
      <c r="Z41">
        <f>0.8*DGGE</f>
        <v>0.92400000000000004</v>
      </c>
      <c r="AA41" t="s">
        <v>534</v>
      </c>
    </row>
    <row r="42" spans="3:27" ht="17" thickBot="1">
      <c r="C42" s="10" t="s">
        <v>48</v>
      </c>
      <c r="J42" t="s">
        <v>521</v>
      </c>
      <c r="K42" s="200">
        <v>0.13600000000000001</v>
      </c>
      <c r="L42" s="200">
        <v>0.22800000000000001</v>
      </c>
      <c r="M42" s="198">
        <f>$V$47*L42</f>
        <v>2.964</v>
      </c>
      <c r="N42" s="211">
        <f>M42*Z38</f>
        <v>3.0810780000000002</v>
      </c>
      <c r="O42" s="198">
        <f>M42*Z38</f>
        <v>3.0810780000000002</v>
      </c>
      <c r="P42" s="207">
        <f>M42*Z38</f>
        <v>3.0810780000000002</v>
      </c>
      <c r="Q42" s="22">
        <f>N42/$N$43</f>
        <v>0.26504944047817436</v>
      </c>
      <c r="R42" t="s">
        <v>531</v>
      </c>
      <c r="U42" t="s">
        <v>537</v>
      </c>
      <c r="V42" s="207">
        <f>0.39*V38/Z43*DGGE</f>
        <v>0.28470023207926032</v>
      </c>
      <c r="W42" t="s">
        <v>538</v>
      </c>
      <c r="Y42" t="s">
        <v>526</v>
      </c>
      <c r="Z42" s="207">
        <f>8.8/Z43*DGGE</f>
        <v>0.26991618641429549</v>
      </c>
      <c r="AA42" t="s">
        <v>529</v>
      </c>
    </row>
    <row r="43" spans="3:27" ht="19" thickBot="1">
      <c r="C43" s="2" t="s">
        <v>49</v>
      </c>
      <c r="J43" t="s">
        <v>449</v>
      </c>
      <c r="K43" s="24"/>
      <c r="L43" s="24"/>
      <c r="M43">
        <f>SUM(M38:M42)</f>
        <v>13</v>
      </c>
      <c r="N43" s="207">
        <f>SUM(N38:N42)</f>
        <v>11.624540668493557</v>
      </c>
      <c r="O43" s="207">
        <f>SUM(O38:O42)</f>
        <v>22.761931499999999</v>
      </c>
      <c r="P43" s="207">
        <f>SUM(P38:P42)</f>
        <v>17.349024</v>
      </c>
      <c r="Q43" s="207">
        <f>M39+M40</f>
        <v>6.6950000000000003</v>
      </c>
      <c r="R43" t="s">
        <v>568</v>
      </c>
      <c r="U43" t="s">
        <v>539</v>
      </c>
      <c r="V43" s="198">
        <f>24/60</f>
        <v>0.4</v>
      </c>
      <c r="W43" t="s">
        <v>540</v>
      </c>
      <c r="Y43" t="s">
        <v>528</v>
      </c>
      <c r="Z43" s="198">
        <v>37.656133687363358</v>
      </c>
      <c r="AA43" t="s">
        <v>527</v>
      </c>
    </row>
    <row r="44" spans="3:27" ht="19" thickBot="1">
      <c r="C44" s="2" t="s">
        <v>50</v>
      </c>
      <c r="M44" t="s">
        <v>513</v>
      </c>
      <c r="N44" s="207">
        <f>N43/$M$43</f>
        <v>0.89419543603796592</v>
      </c>
      <c r="O44" s="207">
        <f>O43/$M$43</f>
        <v>1.7509178076923075</v>
      </c>
      <c r="P44" s="207">
        <f>P43/$M$43</f>
        <v>1.3345403076923077</v>
      </c>
      <c r="Q44">
        <v>3</v>
      </c>
      <c r="R44" t="s">
        <v>567</v>
      </c>
      <c r="U44" t="s">
        <v>447</v>
      </c>
      <c r="V44">
        <v>4.8</v>
      </c>
      <c r="W44" t="s">
        <v>541</v>
      </c>
      <c r="Z44" s="207"/>
    </row>
    <row r="45" spans="3:27" ht="19" thickBot="1">
      <c r="C45" s="2" t="s">
        <v>51</v>
      </c>
      <c r="M45" t="s">
        <v>555</v>
      </c>
      <c r="N45" s="207">
        <f>$O$44-N44</f>
        <v>0.85672237165434162</v>
      </c>
      <c r="O45">
        <v>0</v>
      </c>
      <c r="P45" s="207">
        <f>O44-P44</f>
        <v>0.41637749999999984</v>
      </c>
      <c r="U45" t="s">
        <v>447</v>
      </c>
      <c r="V45">
        <v>6.11</v>
      </c>
      <c r="W45" t="s">
        <v>542</v>
      </c>
    </row>
    <row r="46" spans="3:27">
      <c r="U46" t="s">
        <v>447</v>
      </c>
      <c r="V46">
        <f>0.8*DGGE</f>
        <v>0.92400000000000004</v>
      </c>
      <c r="W46" t="s">
        <v>552</v>
      </c>
    </row>
    <row r="47" spans="3:27">
      <c r="C47" t="s">
        <v>514</v>
      </c>
      <c r="J47" t="s">
        <v>434</v>
      </c>
      <c r="U47" t="s">
        <v>444</v>
      </c>
      <c r="V47">
        <v>13</v>
      </c>
      <c r="W47" t="s">
        <v>445</v>
      </c>
    </row>
    <row r="48" spans="3:27" ht="19">
      <c r="C48" t="s">
        <v>262</v>
      </c>
      <c r="D48" t="s">
        <v>506</v>
      </c>
      <c r="E48" t="s">
        <v>507</v>
      </c>
      <c r="J48" t="s">
        <v>427</v>
      </c>
      <c r="K48" t="s">
        <v>433</v>
      </c>
      <c r="L48" t="s">
        <v>435</v>
      </c>
      <c r="M48" t="s">
        <v>516</v>
      </c>
      <c r="V48" s="14" t="s">
        <v>508</v>
      </c>
    </row>
    <row r="49" spans="3:32">
      <c r="C49" t="s">
        <v>515</v>
      </c>
      <c r="D49" t="s">
        <v>12</v>
      </c>
      <c r="E49" t="s">
        <v>12</v>
      </c>
      <c r="J49" t="s">
        <v>428</v>
      </c>
      <c r="K49">
        <v>1.153</v>
      </c>
      <c r="L49">
        <v>0.98</v>
      </c>
      <c r="M49">
        <f>Biodiesel_blendfactors[[#This Row],[GGE/gallon]]*Biodiesel_blendfactors[[#This Row],[Conv fuel content (fraction)]]</f>
        <v>1.1299399999999999</v>
      </c>
      <c r="U49" t="s">
        <v>512</v>
      </c>
      <c r="V49">
        <f>0.8*DGGE</f>
        <v>0.92400000000000004</v>
      </c>
      <c r="W49" t="s">
        <v>513</v>
      </c>
      <c r="X49" t="s">
        <v>547</v>
      </c>
    </row>
    <row r="50" spans="3:32">
      <c r="C50" t="s">
        <v>12</v>
      </c>
      <c r="D50" t="s">
        <v>14</v>
      </c>
      <c r="E50" t="s">
        <v>14</v>
      </c>
      <c r="J50" t="s">
        <v>429</v>
      </c>
      <c r="K50">
        <v>1.151</v>
      </c>
      <c r="L50">
        <v>0.95</v>
      </c>
      <c r="M50">
        <f>Biodiesel_blendfactors[[#This Row],[GGE/gallon]]*Biodiesel_blendfactors[[#This Row],[Conv fuel content (fraction)]]</f>
        <v>1.09345</v>
      </c>
      <c r="U50" t="s">
        <v>543</v>
      </c>
      <c r="V50" s="198">
        <f>0.294*DGGE</f>
        <v>0.33956999999999998</v>
      </c>
      <c r="W50" t="s">
        <v>545</v>
      </c>
      <c r="X50" s="199" t="s">
        <v>544</v>
      </c>
    </row>
    <row r="51" spans="3:32">
      <c r="C51" t="s">
        <v>14</v>
      </c>
      <c r="D51" t="s">
        <v>428</v>
      </c>
      <c r="E51" t="s">
        <v>428</v>
      </c>
      <c r="J51" t="s">
        <v>430</v>
      </c>
      <c r="K51">
        <v>1.1459999999999999</v>
      </c>
      <c r="L51">
        <v>0.9</v>
      </c>
      <c r="M51">
        <f>Biodiesel_blendfactors[[#This Row],[GGE/gallon]]*Biodiesel_blendfactors[[#This Row],[Conv fuel content (fraction)]]</f>
        <v>1.0313999999999999</v>
      </c>
      <c r="U51" t="s">
        <v>543</v>
      </c>
      <c r="V51" s="198">
        <f>1/V50</f>
        <v>2.9449009040845775</v>
      </c>
      <c r="W51" t="s">
        <v>546</v>
      </c>
    </row>
    <row r="52" spans="3:32">
      <c r="C52" t="s">
        <v>428</v>
      </c>
      <c r="D52" t="s">
        <v>429</v>
      </c>
      <c r="E52" t="s">
        <v>429</v>
      </c>
      <c r="J52" t="s">
        <v>102</v>
      </c>
      <c r="K52">
        <v>1.137</v>
      </c>
      <c r="L52">
        <v>0.8</v>
      </c>
      <c r="M52">
        <f>Biodiesel_blendfactors[[#This Row],[GGE/gallon]]*Biodiesel_blendfactors[[#This Row],[Conv fuel content (fraction)]]</f>
        <v>0.90960000000000008</v>
      </c>
      <c r="N52" s="207"/>
    </row>
    <row r="53" spans="3:32">
      <c r="C53" t="s">
        <v>429</v>
      </c>
      <c r="D53" t="s">
        <v>430</v>
      </c>
      <c r="E53" t="s">
        <v>430</v>
      </c>
      <c r="J53" t="s">
        <v>431</v>
      </c>
      <c r="K53">
        <v>1.1200000000000001</v>
      </c>
      <c r="L53">
        <v>0.6</v>
      </c>
      <c r="M53">
        <f>Biodiesel_blendfactors[[#This Row],[GGE/gallon]]*Biodiesel_blendfactors[[#This Row],[Conv fuel content (fraction)]]</f>
        <v>0.67200000000000004</v>
      </c>
      <c r="N53" s="207"/>
      <c r="U53" s="304" t="s">
        <v>558</v>
      </c>
      <c r="V53" s="304"/>
      <c r="W53" s="304"/>
      <c r="X53" s="304"/>
      <c r="Y53" s="304"/>
      <c r="Z53" s="304"/>
      <c r="AA53" s="304"/>
      <c r="AB53" s="304"/>
      <c r="AC53" s="304"/>
      <c r="AD53" s="304"/>
      <c r="AE53" s="304"/>
      <c r="AF53" s="304"/>
    </row>
    <row r="54" spans="3:32">
      <c r="C54" t="s">
        <v>430</v>
      </c>
      <c r="D54" t="s">
        <v>102</v>
      </c>
      <c r="E54" t="s">
        <v>102</v>
      </c>
      <c r="J54" t="s">
        <v>432</v>
      </c>
      <c r="K54">
        <v>1.111</v>
      </c>
      <c r="L54">
        <v>0.5</v>
      </c>
      <c r="M54">
        <f>Biodiesel_blendfactors[[#This Row],[GGE/gallon]]*Biodiesel_blendfactors[[#This Row],[Conv fuel content (fraction)]]</f>
        <v>0.55549999999999999</v>
      </c>
    </row>
    <row r="55" spans="3:32">
      <c r="C55" t="s">
        <v>102</v>
      </c>
    </row>
    <row r="57" spans="3:32">
      <c r="C57" t="s">
        <v>570</v>
      </c>
    </row>
    <row r="58" spans="3:32">
      <c r="C58" t="s">
        <v>556</v>
      </c>
      <c r="L58" t="s">
        <v>500</v>
      </c>
    </row>
    <row r="59" spans="3:32" ht="17">
      <c r="C59" t="s">
        <v>569</v>
      </c>
      <c r="D59" t="s">
        <v>515</v>
      </c>
      <c r="E59" t="s">
        <v>12</v>
      </c>
      <c r="F59" t="s">
        <v>14</v>
      </c>
      <c r="G59" t="s">
        <v>428</v>
      </c>
      <c r="H59" t="s">
        <v>429</v>
      </c>
      <c r="I59" t="s">
        <v>430</v>
      </c>
      <c r="J59" t="s">
        <v>102</v>
      </c>
      <c r="L59" s="204" t="s">
        <v>261</v>
      </c>
      <c r="M59" s="203" t="s">
        <v>505</v>
      </c>
    </row>
    <row r="60" spans="3:32" ht="34">
      <c r="C60" t="s">
        <v>262</v>
      </c>
      <c r="D60" s="207">
        <f>N45</f>
        <v>0.85672237165434162</v>
      </c>
      <c r="E60" s="207">
        <f t="shared" ref="E60" si="0">P45</f>
        <v>0.41637749999999984</v>
      </c>
      <c r="F60" s="207">
        <f>P45</f>
        <v>0.41637749999999984</v>
      </c>
      <c r="G60" s="207">
        <f>$O$44-$P$44*INDEX(Biodiesel_blendfactors[],MATCH(TBL_APU_GGE_Savings[[#Headers],[B2]],Biodiesel_blendfactors[Blend_factors],0),MATCH("Conv fuel content (fraction)",Biodiesel_blendfactors[#Headers],0))</f>
        <v>0.44306830615384607</v>
      </c>
      <c r="H60" s="207">
        <f>$O$44-$P$44*INDEX(Biodiesel_blendfactors[],MATCH(TBL_APU_GGE_Savings[[#Headers],[B5]],Biodiesel_blendfactors[Blend_factors],0),MATCH("Conv fuel content (fraction)",Biodiesel_blendfactors[#Headers],0))</f>
        <v>0.48310451538461519</v>
      </c>
      <c r="I60" s="207">
        <f>$O$44-$P$44*INDEX(Biodiesel_blendfactors[],MATCH(TBL_APU_GGE_Savings[[#Headers],[B10]],Biodiesel_blendfactors[Blend_factors],0),MATCH("Conv fuel content (fraction)",Biodiesel_blendfactors[#Headers],0))</f>
        <v>0.54983153076923053</v>
      </c>
      <c r="J60" s="207">
        <f>$O$44-$P$44*INDEX(Biodiesel_blendfactors[],MATCH(TBL_APU_GGE_Savings[[#Headers],[B20]],Biodiesel_blendfactors[Blend_factors],0),MATCH("Conv fuel content (fraction)",Biodiesel_blendfactors[#Headers],0))</f>
        <v>0.68328556153846143</v>
      </c>
      <c r="L60" s="205" t="s">
        <v>262</v>
      </c>
      <c r="M60" s="1" t="s">
        <v>561</v>
      </c>
    </row>
    <row r="61" spans="3:32" ht="51">
      <c r="C61" t="s">
        <v>506</v>
      </c>
      <c r="D61" s="207">
        <v>0</v>
      </c>
      <c r="E61" s="207">
        <f>(1.15-0.35)*DGGE</f>
        <v>0.92399999999999993</v>
      </c>
      <c r="F61" s="207">
        <f>(1.15-0.35)*DGGE</f>
        <v>0.92399999999999993</v>
      </c>
      <c r="G61" s="207">
        <f>(1.15-0.35)*DGGE*1.02</f>
        <v>0.94247999999999998</v>
      </c>
      <c r="H61" s="207">
        <f>(1.15-0.35)*DGGE*1.05</f>
        <v>0.97019999999999995</v>
      </c>
      <c r="I61" s="207">
        <f>(1.15-0.35)*DGGE*1.1</f>
        <v>1.0164</v>
      </c>
      <c r="J61" s="207">
        <f>(1.15-0.35)*DGGE*1.2</f>
        <v>1.1087999999999998</v>
      </c>
      <c r="L61" s="205" t="s">
        <v>506</v>
      </c>
      <c r="M61" s="1" t="s">
        <v>559</v>
      </c>
    </row>
    <row r="62" spans="3:32" ht="119">
      <c r="C62" t="s">
        <v>507</v>
      </c>
      <c r="D62" s="207">
        <v>0</v>
      </c>
      <c r="E62" s="207">
        <f>(1.15-0.35)*DGGE</f>
        <v>0.92399999999999993</v>
      </c>
      <c r="F62" s="207">
        <f>(1.15-0.35)*DGGE</f>
        <v>0.92399999999999993</v>
      </c>
      <c r="G62" s="207">
        <f>(1.15-0.35)*DGGE*1.02</f>
        <v>0.94247999999999998</v>
      </c>
      <c r="H62" s="207">
        <f>(1.15-0.35)*DGGE*1.05</f>
        <v>0.97019999999999995</v>
      </c>
      <c r="I62" s="207">
        <f>(1.15-0.35)*DGGE*1.1</f>
        <v>1.0164</v>
      </c>
      <c r="J62" s="207">
        <f>(1.15-0.35)*DGGE*1.2</f>
        <v>1.1087999999999998</v>
      </c>
      <c r="L62" s="206" t="s">
        <v>507</v>
      </c>
      <c r="M62" s="1" t="s">
        <v>560</v>
      </c>
      <c r="X62" s="210"/>
    </row>
    <row r="64" spans="3:32">
      <c r="C64" t="s">
        <v>562</v>
      </c>
      <c r="D64" t="s">
        <v>564</v>
      </c>
    </row>
    <row r="65" spans="3:22">
      <c r="C65" t="s">
        <v>563</v>
      </c>
      <c r="D65" t="s">
        <v>262</v>
      </c>
      <c r="E65" t="s">
        <v>506</v>
      </c>
      <c r="F65" t="s">
        <v>507</v>
      </c>
    </row>
    <row r="66" spans="3:22">
      <c r="C66" t="s">
        <v>565</v>
      </c>
      <c r="D66" s="27">
        <f>$Q$44*250</f>
        <v>750</v>
      </c>
      <c r="E66">
        <v>2100</v>
      </c>
      <c r="F66">
        <v>2100</v>
      </c>
    </row>
    <row r="67" spans="3:22">
      <c r="C67" t="s">
        <v>566</v>
      </c>
    </row>
    <row r="68" spans="3:22">
      <c r="J68" t="s">
        <v>501</v>
      </c>
      <c r="V68" s="24"/>
    </row>
    <row r="69" spans="3:22">
      <c r="C69" s="46" t="s">
        <v>253</v>
      </c>
      <c r="D69" s="46" t="s">
        <v>254</v>
      </c>
      <c r="F69" t="s">
        <v>504</v>
      </c>
      <c r="J69" t="s">
        <v>300</v>
      </c>
    </row>
    <row r="70" spans="3:22" ht="34">
      <c r="C70" s="45"/>
      <c r="D70" s="45"/>
      <c r="F70" t="s">
        <v>502</v>
      </c>
      <c r="J70" t="s">
        <v>194</v>
      </c>
      <c r="K70" t="s">
        <v>186</v>
      </c>
      <c r="L70" t="s">
        <v>205</v>
      </c>
      <c r="M70" t="s">
        <v>0</v>
      </c>
      <c r="N70" t="s">
        <v>206</v>
      </c>
      <c r="O70" t="s">
        <v>207</v>
      </c>
      <c r="P70" s="1" t="s">
        <v>226</v>
      </c>
      <c r="Q70" s="1" t="s">
        <v>228</v>
      </c>
    </row>
    <row r="71" spans="3:22" ht="17">
      <c r="C71" s="45">
        <v>2100</v>
      </c>
      <c r="D71" s="45">
        <v>1.1499999999999999</v>
      </c>
      <c r="F71" t="s">
        <v>503</v>
      </c>
      <c r="J71" s="1" t="str">
        <f>K71&amp;" (Class "&amp;L71&amp;", Fuel - "&amp;M71&amp;", Engine l - "&amp;N71&amp;", GVWR "&amp;O71&amp;" lb)"</f>
        <v>Passenger Car (Ford Focus) (Class 1, Fuel - G, Engine l - 2, GVWR - lb)</v>
      </c>
      <c r="K71" t="s">
        <v>195</v>
      </c>
      <c r="L71" s="25">
        <v>1</v>
      </c>
      <c r="M71" t="s">
        <v>211</v>
      </c>
      <c r="N71" s="25" t="s">
        <v>213</v>
      </c>
      <c r="O71" s="33" t="s">
        <v>216</v>
      </c>
      <c r="P71">
        <v>0.16</v>
      </c>
      <c r="Q71">
        <v>0.28999999999999998</v>
      </c>
    </row>
    <row r="72" spans="3:22" ht="34">
      <c r="J72" s="1" t="str">
        <f t="shared" ref="J72:J81" si="1">K72&amp;" (Class "&amp;L72&amp;", Fuel - "&amp;M72&amp;", Engine l - "&amp;N72&amp;", GVWR "&amp;O72&amp;" lb)"</f>
        <v>Passenger Car (Volkswagen Jetta) (Class 1, Fuel - D, Engine l - 2, GVWR - lb)</v>
      </c>
      <c r="K72" t="s">
        <v>196</v>
      </c>
      <c r="L72" s="25">
        <v>1</v>
      </c>
      <c r="M72" t="s">
        <v>212</v>
      </c>
      <c r="N72" s="25" t="s">
        <v>213</v>
      </c>
      <c r="O72" s="33" t="s">
        <v>216</v>
      </c>
      <c r="P72">
        <v>0.17</v>
      </c>
      <c r="Q72">
        <v>0.39</v>
      </c>
    </row>
    <row r="73" spans="3:22" ht="35">
      <c r="C73" s="14" t="s">
        <v>334</v>
      </c>
      <c r="J73" s="1" t="str">
        <f t="shared" si="1"/>
        <v>Passenger Car (Ford Crown Victoria) (Class 1, Fuel - G, Engine l - 4.6, GVWR - lb)</v>
      </c>
      <c r="K73" t="s">
        <v>197</v>
      </c>
      <c r="L73" s="25">
        <v>1</v>
      </c>
      <c r="M73" t="s">
        <v>211</v>
      </c>
      <c r="N73" s="25" t="s">
        <v>214</v>
      </c>
      <c r="O73" s="33" t="s">
        <v>216</v>
      </c>
      <c r="P73">
        <v>0.39</v>
      </c>
      <c r="Q73">
        <v>0.59</v>
      </c>
    </row>
    <row r="74" spans="3:22" ht="34">
      <c r="C74" s="86" t="s">
        <v>333</v>
      </c>
      <c r="D74" s="30" t="s">
        <v>77</v>
      </c>
      <c r="E74" s="30" t="s">
        <v>76</v>
      </c>
      <c r="F74" s="24" t="s">
        <v>55</v>
      </c>
      <c r="G74" s="24" t="s">
        <v>87</v>
      </c>
      <c r="J74" s="1" t="str">
        <f t="shared" si="1"/>
        <v>Medium Heavy Truck (Class 6, Fuel - G, Engine l - 5-7, GVWR 19,700 - 26,000 lb)</v>
      </c>
      <c r="K74" t="s">
        <v>198</v>
      </c>
      <c r="L74" s="25">
        <v>6</v>
      </c>
      <c r="M74" t="s">
        <v>211</v>
      </c>
      <c r="N74" s="25" t="s">
        <v>215</v>
      </c>
      <c r="O74" s="25" t="s">
        <v>218</v>
      </c>
      <c r="P74">
        <v>0.84</v>
      </c>
    </row>
    <row r="75" spans="3:22" ht="17">
      <c r="C75" t="s">
        <v>336</v>
      </c>
      <c r="D75">
        <v>28</v>
      </c>
      <c r="E75" s="28">
        <v>12427</v>
      </c>
      <c r="F75" t="s">
        <v>338</v>
      </c>
      <c r="J75" s="1" t="str">
        <f t="shared" si="1"/>
        <v>Delivery Truck (Class 5, Fuel - D, Engine l - -, GVWR 19,500 lb)</v>
      </c>
      <c r="K75" t="s">
        <v>199</v>
      </c>
      <c r="L75" s="25">
        <v>5</v>
      </c>
      <c r="M75" t="s">
        <v>212</v>
      </c>
      <c r="N75" s="33" t="s">
        <v>216</v>
      </c>
      <c r="O75" s="25" t="s">
        <v>219</v>
      </c>
      <c r="P75">
        <v>0.84</v>
      </c>
      <c r="Q75">
        <v>1.1000000000000001</v>
      </c>
    </row>
    <row r="76" spans="3:22" ht="17">
      <c r="C76" t="s">
        <v>337</v>
      </c>
      <c r="D76">
        <v>24.5</v>
      </c>
      <c r="E76" s="28">
        <v>12427</v>
      </c>
      <c r="F76" t="s">
        <v>338</v>
      </c>
      <c r="G76" t="s">
        <v>339</v>
      </c>
      <c r="J76" s="1" t="str">
        <f t="shared" si="1"/>
        <v>Tow Truck (Class 6, Fuel - D, Engine l - -, GVWR 26,000 lb)</v>
      </c>
      <c r="K76" t="s">
        <v>200</v>
      </c>
      <c r="L76" s="25">
        <v>6</v>
      </c>
      <c r="M76" t="s">
        <v>212</v>
      </c>
      <c r="N76" s="33" t="s">
        <v>216</v>
      </c>
      <c r="O76" s="25" t="s">
        <v>220</v>
      </c>
      <c r="P76">
        <v>0.59</v>
      </c>
      <c r="Q76">
        <v>1.1399999999999999</v>
      </c>
    </row>
    <row r="77" spans="3:22" ht="34">
      <c r="C77" t="s">
        <v>342</v>
      </c>
      <c r="D77">
        <v>17.399999999999999</v>
      </c>
      <c r="E77" s="28">
        <v>10986</v>
      </c>
      <c r="F77" t="s">
        <v>340</v>
      </c>
      <c r="J77" s="1" t="str">
        <f t="shared" si="1"/>
        <v>Medium Heavy Truck (Class 6 - 7, Fuel - D, Engine l - 6 - 10, GVWR 23,000 - 33,000 lb)</v>
      </c>
      <c r="K77" t="s">
        <v>198</v>
      </c>
      <c r="L77" s="25" t="s">
        <v>208</v>
      </c>
      <c r="M77" t="s">
        <v>212</v>
      </c>
      <c r="N77" s="25" t="s">
        <v>217</v>
      </c>
      <c r="O77" s="25" t="s">
        <v>221</v>
      </c>
      <c r="P77">
        <v>0.44</v>
      </c>
    </row>
    <row r="78" spans="3:22" ht="17">
      <c r="C78" t="s">
        <v>341</v>
      </c>
      <c r="D78">
        <v>20.8</v>
      </c>
      <c r="E78" s="28">
        <v>10986</v>
      </c>
      <c r="F78" t="s">
        <v>340</v>
      </c>
      <c r="J78" s="1" t="str">
        <f t="shared" si="1"/>
        <v>Transit Bus (Class 7, Fuel - D, Engine l - -, GVWR 30,000 lb)</v>
      </c>
      <c r="K78" t="s">
        <v>201</v>
      </c>
      <c r="L78" s="25" t="s">
        <v>209</v>
      </c>
      <c r="M78" t="s">
        <v>212</v>
      </c>
      <c r="N78" s="33" t="s">
        <v>216</v>
      </c>
      <c r="O78" s="25" t="s">
        <v>222</v>
      </c>
      <c r="P78">
        <v>0.97</v>
      </c>
    </row>
    <row r="79" spans="3:22" ht="17">
      <c r="C79" t="s">
        <v>332</v>
      </c>
      <c r="D79">
        <v>21</v>
      </c>
      <c r="E79" s="28">
        <v>10986</v>
      </c>
      <c r="F79" t="s">
        <v>340</v>
      </c>
      <c r="J79" s="1" t="str">
        <f t="shared" si="1"/>
        <v>Combination Truck (Class 7, Fuel - D, Engine l - -, GVWR 32,000 lb)</v>
      </c>
      <c r="K79" t="s">
        <v>202</v>
      </c>
      <c r="L79" s="25" t="s">
        <v>209</v>
      </c>
      <c r="M79" t="s">
        <v>212</v>
      </c>
      <c r="N79" s="33" t="s">
        <v>216</v>
      </c>
      <c r="O79" s="25" t="s">
        <v>223</v>
      </c>
      <c r="P79">
        <v>0.49</v>
      </c>
    </row>
    <row r="80" spans="3:22" ht="17">
      <c r="C80" t="s">
        <v>324</v>
      </c>
      <c r="D80">
        <v>17.600000000000001</v>
      </c>
      <c r="F80" t="s">
        <v>335</v>
      </c>
      <c r="J80" s="1" t="str">
        <f t="shared" si="1"/>
        <v>Bucket Truck (Class 8, Fuel - D, Engine l - -, GVWR 37,000 lb)</v>
      </c>
      <c r="K80" t="s">
        <v>203</v>
      </c>
      <c r="L80" s="25" t="s">
        <v>210</v>
      </c>
      <c r="M80" t="s">
        <v>212</v>
      </c>
      <c r="N80" s="33" t="s">
        <v>216</v>
      </c>
      <c r="O80" s="25" t="s">
        <v>224</v>
      </c>
      <c r="P80">
        <v>0.9</v>
      </c>
      <c r="Q80">
        <v>1.5</v>
      </c>
    </row>
    <row r="81" spans="3:17" ht="17">
      <c r="C81" t="s">
        <v>325</v>
      </c>
      <c r="D81">
        <v>14.3</v>
      </c>
      <c r="F81" t="s">
        <v>335</v>
      </c>
      <c r="J81" s="1" t="str">
        <f t="shared" si="1"/>
        <v>Tractor-Semitrailer (Class 8, Fuel - D, Engine l - -, GVWR 80,000 lb)</v>
      </c>
      <c r="K81" t="s">
        <v>204</v>
      </c>
      <c r="L81" s="25" t="s">
        <v>210</v>
      </c>
      <c r="M81" t="s">
        <v>212</v>
      </c>
      <c r="N81" s="33" t="s">
        <v>216</v>
      </c>
      <c r="O81" s="25" t="s">
        <v>225</v>
      </c>
      <c r="P81">
        <v>0.64</v>
      </c>
      <c r="Q81">
        <v>1.1499999999999999</v>
      </c>
    </row>
    <row r="82" spans="3:17">
      <c r="C82" t="s">
        <v>326</v>
      </c>
      <c r="D82">
        <v>10.5</v>
      </c>
      <c r="F82" t="s">
        <v>335</v>
      </c>
    </row>
    <row r="83" spans="3:17">
      <c r="C83" t="s">
        <v>327</v>
      </c>
      <c r="D83">
        <v>8.5</v>
      </c>
      <c r="F83" t="s">
        <v>335</v>
      </c>
    </row>
    <row r="84" spans="3:17" ht="13.5" customHeight="1">
      <c r="C84" t="s">
        <v>328</v>
      </c>
      <c r="D84">
        <v>7.9</v>
      </c>
      <c r="F84" t="s">
        <v>335</v>
      </c>
    </row>
    <row r="85" spans="3:17" ht="55" customHeight="1">
      <c r="C85" t="s">
        <v>329</v>
      </c>
      <c r="D85">
        <v>7</v>
      </c>
      <c r="F85" t="s">
        <v>335</v>
      </c>
    </row>
    <row r="86" spans="3:17" ht="21.75" customHeight="1">
      <c r="C86" t="s">
        <v>330</v>
      </c>
      <c r="D86">
        <v>6.4</v>
      </c>
      <c r="F86" t="s">
        <v>335</v>
      </c>
    </row>
    <row r="87" spans="3:17" ht="21.75" customHeight="1">
      <c r="C87" t="s">
        <v>331</v>
      </c>
      <c r="D87">
        <v>5.7</v>
      </c>
      <c r="F87" t="s">
        <v>335</v>
      </c>
    </row>
    <row r="88" spans="3:17" ht="21.75" customHeight="1">
      <c r="C88" t="s">
        <v>452</v>
      </c>
      <c r="D88">
        <v>6.4</v>
      </c>
      <c r="F88" s="199" t="s">
        <v>446</v>
      </c>
    </row>
    <row r="89" spans="3:17" ht="21.75" customHeight="1">
      <c r="C89" s="14" t="s">
        <v>373</v>
      </c>
    </row>
    <row r="90" spans="3:17" ht="21.75" customHeight="1">
      <c r="C90" s="86" t="s">
        <v>378</v>
      </c>
      <c r="D90" s="30" t="s">
        <v>77</v>
      </c>
      <c r="E90" s="30" t="s">
        <v>76</v>
      </c>
      <c r="F90" s="24" t="s">
        <v>55</v>
      </c>
      <c r="G90" s="24" t="s">
        <v>87</v>
      </c>
    </row>
    <row r="91" spans="3:17" ht="21.75" customHeight="1">
      <c r="C91" t="s">
        <v>374</v>
      </c>
      <c r="D91">
        <v>28</v>
      </c>
      <c r="E91" s="28">
        <v>12427</v>
      </c>
      <c r="F91" t="s">
        <v>338</v>
      </c>
    </row>
    <row r="92" spans="3:17" ht="21.75" customHeight="1">
      <c r="C92" t="s">
        <v>375</v>
      </c>
      <c r="D92">
        <v>17.399999999999999</v>
      </c>
      <c r="E92" s="28">
        <v>10986</v>
      </c>
      <c r="F92" t="s">
        <v>340</v>
      </c>
      <c r="G92" t="s">
        <v>339</v>
      </c>
    </row>
    <row r="93" spans="3:17" ht="21.75" customHeight="1">
      <c r="C93" t="s">
        <v>376</v>
      </c>
      <c r="D93">
        <v>20.8</v>
      </c>
      <c r="E93" s="28">
        <v>10986</v>
      </c>
      <c r="F93" t="s">
        <v>340</v>
      </c>
    </row>
    <row r="94" spans="3:17" ht="21.75" customHeight="1">
      <c r="C94" t="s">
        <v>377</v>
      </c>
      <c r="D94">
        <v>21</v>
      </c>
      <c r="E94" s="28">
        <v>10986</v>
      </c>
      <c r="F94" t="s">
        <v>340</v>
      </c>
    </row>
    <row r="95" spans="3:17" ht="21.75" customHeight="1">
      <c r="C95" t="s">
        <v>324</v>
      </c>
      <c r="D95">
        <v>17.600000000000001</v>
      </c>
      <c r="F95" t="s">
        <v>335</v>
      </c>
    </row>
    <row r="96" spans="3:17" ht="21.75" customHeight="1">
      <c r="C96" t="s">
        <v>325</v>
      </c>
      <c r="D96">
        <v>14.3</v>
      </c>
      <c r="F96" t="s">
        <v>335</v>
      </c>
    </row>
    <row r="97" spans="3:12" ht="21.75" customHeight="1">
      <c r="C97" t="s">
        <v>326</v>
      </c>
      <c r="D97">
        <v>10.5</v>
      </c>
      <c r="F97" t="s">
        <v>335</v>
      </c>
    </row>
    <row r="98" spans="3:12" ht="21.75" customHeight="1">
      <c r="C98" t="s">
        <v>327</v>
      </c>
      <c r="D98">
        <v>8.5</v>
      </c>
      <c r="F98" t="s">
        <v>335</v>
      </c>
    </row>
    <row r="99" spans="3:12" ht="21.75" customHeight="1">
      <c r="C99" t="s">
        <v>328</v>
      </c>
      <c r="D99">
        <v>7.9</v>
      </c>
      <c r="F99" t="s">
        <v>335</v>
      </c>
      <c r="J99" s="76" t="s">
        <v>53</v>
      </c>
      <c r="K99" s="77" t="s">
        <v>54</v>
      </c>
      <c r="L99" s="78" t="s">
        <v>55</v>
      </c>
    </row>
    <row r="100" spans="3:12" ht="21.75" customHeight="1">
      <c r="C100" t="s">
        <v>329</v>
      </c>
      <c r="D100">
        <v>7</v>
      </c>
      <c r="F100" t="s">
        <v>335</v>
      </c>
      <c r="J100" s="79" t="s">
        <v>56</v>
      </c>
      <c r="K100" s="80"/>
      <c r="L100" s="81"/>
    </row>
    <row r="101" spans="3:12" ht="17">
      <c r="C101" t="s">
        <v>330</v>
      </c>
      <c r="D101">
        <v>6.4</v>
      </c>
      <c r="F101" t="s">
        <v>335</v>
      </c>
      <c r="J101" s="82" t="s">
        <v>308</v>
      </c>
      <c r="L101" s="72"/>
    </row>
    <row r="102" spans="3:12" ht="17">
      <c r="C102" t="s">
        <v>331</v>
      </c>
      <c r="D102">
        <v>5.7</v>
      </c>
      <c r="F102" t="s">
        <v>335</v>
      </c>
      <c r="J102" s="82" t="s">
        <v>309</v>
      </c>
      <c r="L102" s="301" t="s">
        <v>310</v>
      </c>
    </row>
    <row r="103" spans="3:12">
      <c r="J103" s="83" t="s">
        <v>311</v>
      </c>
      <c r="K103">
        <v>17.600000000000001</v>
      </c>
      <c r="L103" s="301"/>
    </row>
    <row r="104" spans="3:12">
      <c r="J104" s="83" t="s">
        <v>312</v>
      </c>
      <c r="K104">
        <v>14.3</v>
      </c>
      <c r="L104" s="301"/>
    </row>
    <row r="105" spans="3:12">
      <c r="J105" s="83" t="s">
        <v>313</v>
      </c>
      <c r="K105">
        <v>16.2</v>
      </c>
      <c r="L105" s="301"/>
    </row>
    <row r="106" spans="3:12" ht="19">
      <c r="C106" s="24" t="s">
        <v>302</v>
      </c>
      <c r="D106" s="24" t="s">
        <v>192</v>
      </c>
      <c r="E106" s="24" t="s">
        <v>0</v>
      </c>
      <c r="G106" s="14" t="s">
        <v>104</v>
      </c>
      <c r="J106" s="84" t="s">
        <v>314</v>
      </c>
      <c r="L106" s="301"/>
    </row>
    <row r="107" spans="3:12" ht="60">
      <c r="C107" t="s">
        <v>284</v>
      </c>
      <c r="D107" s="29">
        <f>G187</f>
        <v>23.4</v>
      </c>
      <c r="E107" t="s">
        <v>14</v>
      </c>
      <c r="G107" s="14" t="s">
        <v>75</v>
      </c>
      <c r="H107" s="15" t="s">
        <v>105</v>
      </c>
      <c r="J107" s="83" t="s">
        <v>315</v>
      </c>
      <c r="K107">
        <v>10.5</v>
      </c>
      <c r="L107" s="301"/>
    </row>
    <row r="108" spans="3:12">
      <c r="C108" t="s">
        <v>285</v>
      </c>
      <c r="D108" s="29">
        <v>22.229999721050262</v>
      </c>
      <c r="E108" t="str">
        <f>C24</f>
        <v xml:space="preserve">CNG </v>
      </c>
      <c r="G108" t="s">
        <v>14</v>
      </c>
      <c r="H108">
        <v>1</v>
      </c>
      <c r="J108" s="83" t="s">
        <v>316</v>
      </c>
      <c r="K108">
        <v>8.5</v>
      </c>
      <c r="L108" s="301"/>
    </row>
    <row r="109" spans="3:12">
      <c r="C109" t="s">
        <v>286</v>
      </c>
      <c r="D109" s="29">
        <v>22.229999721050262</v>
      </c>
      <c r="E109" t="str">
        <f>C29</f>
        <v>LNG</v>
      </c>
      <c r="G109" t="s">
        <v>97</v>
      </c>
      <c r="H109">
        <f>G173/G172</f>
        <v>0.93457939343865426</v>
      </c>
      <c r="J109" s="83" t="s">
        <v>317</v>
      </c>
      <c r="K109">
        <v>7.9</v>
      </c>
      <c r="L109" s="301"/>
    </row>
    <row r="110" spans="3:12">
      <c r="C110" t="s">
        <v>287</v>
      </c>
      <c r="D110" s="29">
        <v>23.4</v>
      </c>
      <c r="E110" t="str">
        <f>C30</f>
        <v>LPG</v>
      </c>
      <c r="G110" t="s">
        <v>99</v>
      </c>
      <c r="H110">
        <f>G174/G172</f>
        <v>1.0526315921561542</v>
      </c>
      <c r="J110" s="83" t="s">
        <v>318</v>
      </c>
      <c r="K110">
        <v>7</v>
      </c>
      <c r="L110" s="301"/>
    </row>
    <row r="111" spans="3:12">
      <c r="C111" t="s">
        <v>288</v>
      </c>
      <c r="D111" s="29">
        <v>23.4</v>
      </c>
      <c r="E111" t="str">
        <f>C25</f>
        <v xml:space="preserve">E85 </v>
      </c>
      <c r="G111" t="s">
        <v>18</v>
      </c>
      <c r="H111">
        <f>G175/G172</f>
        <v>0</v>
      </c>
      <c r="J111" s="83" t="s">
        <v>319</v>
      </c>
      <c r="K111">
        <v>8</v>
      </c>
      <c r="L111" s="301"/>
    </row>
    <row r="112" spans="3:12">
      <c r="C112" t="s">
        <v>289</v>
      </c>
      <c r="D112" s="29">
        <v>32.759999442100522</v>
      </c>
      <c r="E112" t="s">
        <v>14</v>
      </c>
      <c r="G112" t="s">
        <v>12</v>
      </c>
      <c r="H112">
        <f>G176/G172</f>
        <v>0.83333330021964314</v>
      </c>
      <c r="J112" s="84" t="s">
        <v>320</v>
      </c>
      <c r="L112" s="301"/>
    </row>
    <row r="113" spans="3:12">
      <c r="C113" t="s">
        <v>173</v>
      </c>
      <c r="D113" s="29">
        <v>79.560002231597892</v>
      </c>
      <c r="E113" t="str">
        <f>C26</f>
        <v>All Electric</v>
      </c>
      <c r="G113" t="s">
        <v>102</v>
      </c>
      <c r="H113">
        <f>G177/G172</f>
        <v>0.83333330021964314</v>
      </c>
      <c r="J113" s="83" t="s">
        <v>321</v>
      </c>
      <c r="K113">
        <v>6.4</v>
      </c>
      <c r="L113" s="301"/>
    </row>
    <row r="114" spans="3:12">
      <c r="C114" t="s">
        <v>174</v>
      </c>
      <c r="D114" s="29">
        <v>53.819998884201048</v>
      </c>
      <c r="E114" t="str">
        <f>C27</f>
        <v>H2</v>
      </c>
      <c r="G114" t="s">
        <v>6</v>
      </c>
      <c r="H114">
        <f>G178/G172</f>
        <v>0.83333330021964314</v>
      </c>
      <c r="J114" s="83" t="s">
        <v>322</v>
      </c>
      <c r="K114">
        <v>5.7</v>
      </c>
      <c r="L114" s="301"/>
    </row>
    <row r="115" spans="3:12">
      <c r="C115" t="s">
        <v>291</v>
      </c>
      <c r="D115" s="29">
        <v>37.440000557899474</v>
      </c>
      <c r="E115" t="s">
        <v>12</v>
      </c>
      <c r="J115" s="85" t="s">
        <v>323</v>
      </c>
      <c r="K115" s="73">
        <v>5.8</v>
      </c>
      <c r="L115" s="302"/>
    </row>
    <row r="119" spans="3:12">
      <c r="C119" s="24" t="s">
        <v>303</v>
      </c>
      <c r="D119" s="24" t="s">
        <v>192</v>
      </c>
    </row>
    <row r="120" spans="3:12">
      <c r="C120" t="s">
        <v>285</v>
      </c>
      <c r="D120" s="29">
        <v>22.229999721050262</v>
      </c>
    </row>
    <row r="121" spans="3:12">
      <c r="C121" t="s">
        <v>286</v>
      </c>
      <c r="D121" s="29">
        <v>22.229999721050262</v>
      </c>
    </row>
    <row r="122" spans="3:12">
      <c r="C122" t="s">
        <v>287</v>
      </c>
      <c r="D122" s="29">
        <v>23.4</v>
      </c>
    </row>
    <row r="123" spans="3:12">
      <c r="C123" t="s">
        <v>288</v>
      </c>
      <c r="D123" s="29">
        <v>23.4</v>
      </c>
    </row>
    <row r="124" spans="3:12">
      <c r="C124" t="s">
        <v>290</v>
      </c>
      <c r="D124" s="29">
        <v>48.415298208834159</v>
      </c>
    </row>
    <row r="125" spans="3:12">
      <c r="C125" t="s">
        <v>173</v>
      </c>
      <c r="D125" s="29">
        <v>79.560002231597892</v>
      </c>
    </row>
    <row r="126" spans="3:12">
      <c r="C126" t="s">
        <v>174</v>
      </c>
      <c r="D126" s="29">
        <v>53.819998884201048</v>
      </c>
    </row>
    <row r="128" spans="3:12">
      <c r="D128" s="29"/>
    </row>
    <row r="129" spans="3:14">
      <c r="C129" s="24" t="s">
        <v>307</v>
      </c>
      <c r="D129" s="29"/>
    </row>
    <row r="130" spans="3:14">
      <c r="C130" t="str">
        <f ca="1">IF(Idle_loadselection="with load","Default_fuel_use_wload","Default_fuel_use_wo_load")</f>
        <v>Default_fuel_use_wo_load</v>
      </c>
      <c r="D130" s="29"/>
    </row>
    <row r="131" spans="3:14">
      <c r="D131" s="29"/>
    </row>
    <row r="132" spans="3:14">
      <c r="C132" s="24" t="s">
        <v>243</v>
      </c>
    </row>
    <row r="133" spans="3:14" ht="85">
      <c r="C133" t="s">
        <v>230</v>
      </c>
      <c r="D133" s="1" t="s">
        <v>233</v>
      </c>
      <c r="E133" s="1" t="s">
        <v>234</v>
      </c>
      <c r="F133" s="1" t="s">
        <v>227</v>
      </c>
      <c r="G133" s="1" t="s">
        <v>235</v>
      </c>
      <c r="H133" s="1" t="s">
        <v>236</v>
      </c>
      <c r="I133" s="1" t="s">
        <v>237</v>
      </c>
      <c r="J133" s="1" t="s">
        <v>238</v>
      </c>
      <c r="K133" s="1" t="s">
        <v>239</v>
      </c>
      <c r="L133" s="1" t="s">
        <v>240</v>
      </c>
      <c r="M133" s="1" t="s">
        <v>241</v>
      </c>
      <c r="N133" s="1" t="s">
        <v>242</v>
      </c>
    </row>
    <row r="134" spans="3:14">
      <c r="C134" t="s">
        <v>229</v>
      </c>
      <c r="D134">
        <v>0.28999999999999998</v>
      </c>
      <c r="E134">
        <v>0.39</v>
      </c>
      <c r="F134">
        <v>0.59</v>
      </c>
      <c r="H134">
        <v>1.1000000000000001</v>
      </c>
      <c r="I134">
        <v>1.1399999999999999</v>
      </c>
      <c r="M134">
        <v>1.5</v>
      </c>
      <c r="N134">
        <v>1.1499999999999999</v>
      </c>
    </row>
    <row r="135" spans="3:14">
      <c r="C135" t="s">
        <v>232</v>
      </c>
    </row>
    <row r="137" spans="3:14">
      <c r="C137" s="24" t="s">
        <v>244</v>
      </c>
    </row>
    <row r="138" spans="3:14" ht="85">
      <c r="C138" t="s">
        <v>230</v>
      </c>
      <c r="D138" s="1" t="s">
        <v>233</v>
      </c>
      <c r="E138" s="1" t="s">
        <v>234</v>
      </c>
      <c r="F138" s="1" t="s">
        <v>227</v>
      </c>
      <c r="G138" s="1" t="s">
        <v>235</v>
      </c>
      <c r="H138" s="1" t="s">
        <v>236</v>
      </c>
      <c r="I138" s="1" t="s">
        <v>237</v>
      </c>
      <c r="J138" s="1" t="s">
        <v>238</v>
      </c>
      <c r="K138" s="1" t="s">
        <v>239</v>
      </c>
      <c r="L138" s="1" t="s">
        <v>240</v>
      </c>
      <c r="M138" s="1" t="s">
        <v>241</v>
      </c>
      <c r="N138" s="1" t="s">
        <v>242</v>
      </c>
    </row>
    <row r="139" spans="3:14">
      <c r="C139" t="s">
        <v>231</v>
      </c>
      <c r="D139">
        <v>0.16</v>
      </c>
      <c r="E139">
        <v>0.17</v>
      </c>
      <c r="F139">
        <v>0.39</v>
      </c>
      <c r="G139">
        <v>0.84</v>
      </c>
      <c r="H139">
        <v>0.84</v>
      </c>
      <c r="I139">
        <v>0.59</v>
      </c>
      <c r="J139">
        <v>0.44</v>
      </c>
      <c r="K139">
        <v>0.97</v>
      </c>
      <c r="L139">
        <v>0.49</v>
      </c>
      <c r="M139">
        <v>0.9</v>
      </c>
      <c r="N139">
        <v>0.64</v>
      </c>
    </row>
    <row r="140" spans="3:14">
      <c r="C140" t="s">
        <v>232</v>
      </c>
    </row>
    <row r="144" spans="3:14">
      <c r="C144" s="24" t="s">
        <v>343</v>
      </c>
    </row>
    <row r="146" spans="3:14" ht="17">
      <c r="C146" s="30" t="s">
        <v>246</v>
      </c>
      <c r="D146" t="s">
        <v>284</v>
      </c>
      <c r="E146" t="s">
        <v>285</v>
      </c>
      <c r="F146" t="s">
        <v>286</v>
      </c>
      <c r="G146" t="s">
        <v>287</v>
      </c>
      <c r="H146" t="s">
        <v>288</v>
      </c>
      <c r="I146" t="s">
        <v>289</v>
      </c>
      <c r="J146" t="s">
        <v>290</v>
      </c>
      <c r="K146" t="s">
        <v>173</v>
      </c>
      <c r="L146" t="s">
        <v>174</v>
      </c>
      <c r="M146" t="s">
        <v>291</v>
      </c>
      <c r="N146" s="30"/>
    </row>
    <row r="147" spans="3:14">
      <c r="C147" t="s">
        <v>247</v>
      </c>
      <c r="D147" s="29">
        <v>23.4</v>
      </c>
      <c r="E147" s="29">
        <v>22.229999721050262</v>
      </c>
      <c r="F147" s="29">
        <v>22.229999721050262</v>
      </c>
      <c r="G147" s="29">
        <v>23.4</v>
      </c>
      <c r="H147" s="29">
        <v>23.4</v>
      </c>
      <c r="I147" s="29">
        <v>32.759999442100522</v>
      </c>
      <c r="J147" s="29">
        <v>44.08</v>
      </c>
      <c r="K147" s="29">
        <v>79.560002231597892</v>
      </c>
      <c r="L147" s="29">
        <v>53.819998884201048</v>
      </c>
      <c r="M147" s="29">
        <v>37.440000557899474</v>
      </c>
    </row>
    <row r="148" spans="3:14">
      <c r="C148" t="s">
        <v>232</v>
      </c>
    </row>
    <row r="149" spans="3:14">
      <c r="D149" s="29"/>
    </row>
    <row r="150" spans="3:14">
      <c r="D150" s="29"/>
    </row>
    <row r="151" spans="3:14" ht="48" customHeight="1">
      <c r="C151" t="s">
        <v>57</v>
      </c>
    </row>
    <row r="152" spans="3:14">
      <c r="C152" t="s">
        <v>58</v>
      </c>
      <c r="D152" t="s">
        <v>59</v>
      </c>
    </row>
    <row r="153" spans="3:14">
      <c r="C153" t="s">
        <v>60</v>
      </c>
      <c r="D153">
        <v>1023</v>
      </c>
      <c r="E153" t="s">
        <v>61</v>
      </c>
    </row>
    <row r="154" spans="3:14">
      <c r="C154" t="s">
        <v>62</v>
      </c>
      <c r="D154">
        <v>124238</v>
      </c>
      <c r="E154" t="s">
        <v>61</v>
      </c>
    </row>
    <row r="155" spans="3:14">
      <c r="C155" t="s">
        <v>63</v>
      </c>
      <c r="D155">
        <v>3412</v>
      </c>
      <c r="E155" t="s">
        <v>61</v>
      </c>
    </row>
    <row r="157" spans="3:14">
      <c r="C157" t="s">
        <v>64</v>
      </c>
      <c r="D157">
        <f>D153/D154</f>
        <v>8.2341956567233855E-3</v>
      </c>
    </row>
    <row r="158" spans="3:14">
      <c r="C158" t="s">
        <v>65</v>
      </c>
      <c r="D158">
        <f>D157*1000</f>
        <v>8.2341956567233847</v>
      </c>
    </row>
    <row r="169" spans="3:14">
      <c r="D169" t="s">
        <v>78</v>
      </c>
    </row>
    <row r="170" spans="3:14" ht="51">
      <c r="C170" s="1"/>
      <c r="D170" s="1" t="s">
        <v>75</v>
      </c>
      <c r="E170" s="1" t="s">
        <v>79</v>
      </c>
      <c r="F170" s="1" t="s">
        <v>80</v>
      </c>
      <c r="G170" s="1" t="s">
        <v>81</v>
      </c>
      <c r="H170" s="1" t="s">
        <v>82</v>
      </c>
      <c r="I170" s="1" t="s">
        <v>83</v>
      </c>
      <c r="J170" s="1" t="s">
        <v>84</v>
      </c>
      <c r="K170" s="1" t="s">
        <v>85</v>
      </c>
      <c r="L170" s="1" t="s">
        <v>86</v>
      </c>
      <c r="M170" s="1" t="s">
        <v>87</v>
      </c>
      <c r="N170" s="1"/>
    </row>
    <row r="171" spans="3:14" ht="85">
      <c r="C171" s="1" t="s">
        <v>88</v>
      </c>
      <c r="D171" s="1"/>
      <c r="E171" s="1"/>
      <c r="F171" s="1" t="s">
        <v>89</v>
      </c>
      <c r="G171" s="1" t="s">
        <v>90</v>
      </c>
      <c r="H171" s="1" t="s">
        <v>91</v>
      </c>
      <c r="I171" s="1" t="s">
        <v>91</v>
      </c>
      <c r="J171" s="1" t="s">
        <v>92</v>
      </c>
      <c r="K171" s="1" t="s">
        <v>93</v>
      </c>
      <c r="L171" s="1" t="s">
        <v>94</v>
      </c>
      <c r="M171" s="1"/>
      <c r="N171" s="1"/>
    </row>
    <row r="172" spans="3:14">
      <c r="D172" t="s">
        <v>14</v>
      </c>
      <c r="E172" t="s">
        <v>95</v>
      </c>
      <c r="F172" s="26">
        <v>113602</v>
      </c>
      <c r="G172" s="26">
        <v>4907.9383226160535</v>
      </c>
      <c r="H172" s="26">
        <v>72707</v>
      </c>
      <c r="I172" s="27">
        <v>4806</v>
      </c>
      <c r="J172" s="27">
        <v>12000</v>
      </c>
      <c r="K172" s="27">
        <f>G172*J172</f>
        <v>58895259.871392645</v>
      </c>
      <c r="L172" s="27">
        <f>H172*K172/1000000+I172*J172</f>
        <v>61954097.659469344</v>
      </c>
      <c r="M172" t="s">
        <v>96</v>
      </c>
    </row>
    <row r="173" spans="3:14">
      <c r="D173" t="s">
        <v>97</v>
      </c>
      <c r="E173" t="s">
        <v>95</v>
      </c>
      <c r="F173" s="26">
        <v>81920.800000000003</v>
      </c>
      <c r="G173" s="26">
        <v>4586.8580205848375</v>
      </c>
      <c r="H173" s="26">
        <v>0</v>
      </c>
      <c r="I173" s="27">
        <v>0</v>
      </c>
      <c r="J173" s="27">
        <v>12000</v>
      </c>
      <c r="K173" s="27">
        <f t="shared" ref="K173:K178" si="2">G173*J173</f>
        <v>55042296.247018047</v>
      </c>
      <c r="L173" s="27">
        <f t="shared" ref="L173:L178" si="3">H173*K173/1000000+I173*J173</f>
        <v>0</v>
      </c>
      <c r="M173" t="s">
        <v>98</v>
      </c>
    </row>
    <row r="174" spans="3:14">
      <c r="D174" t="s">
        <v>99</v>
      </c>
      <c r="E174" t="s">
        <v>100</v>
      </c>
      <c r="F174" s="26">
        <v>983</v>
      </c>
      <c r="G174" s="26">
        <v>5166.2509307395412</v>
      </c>
      <c r="H174" s="26">
        <v>0</v>
      </c>
      <c r="I174" s="27"/>
      <c r="J174" s="27">
        <v>12000</v>
      </c>
      <c r="K174" s="27">
        <f t="shared" si="2"/>
        <v>61995011.168874495</v>
      </c>
      <c r="L174" s="27">
        <f t="shared" si="3"/>
        <v>0</v>
      </c>
      <c r="M174" t="s">
        <v>101</v>
      </c>
    </row>
    <row r="175" spans="3:14">
      <c r="D175" t="s">
        <v>18</v>
      </c>
      <c r="E175" t="s">
        <v>95</v>
      </c>
      <c r="F175" s="26"/>
      <c r="G175" s="26"/>
      <c r="H175" s="26"/>
      <c r="I175" s="27"/>
      <c r="J175" s="27">
        <v>12000</v>
      </c>
      <c r="K175" s="27">
        <f t="shared" si="2"/>
        <v>0</v>
      </c>
      <c r="L175" s="27">
        <f t="shared" si="3"/>
        <v>0</v>
      </c>
    </row>
    <row r="176" spans="3:14">
      <c r="D176" t="s">
        <v>12</v>
      </c>
      <c r="E176" t="s">
        <v>95</v>
      </c>
      <c r="F176" s="26">
        <v>129488</v>
      </c>
      <c r="G176" s="26">
        <v>4089.9484396600956</v>
      </c>
      <c r="H176" s="26">
        <v>0</v>
      </c>
      <c r="I176" s="27">
        <v>0</v>
      </c>
      <c r="J176" s="27">
        <v>12000</v>
      </c>
      <c r="K176" s="27">
        <f t="shared" si="2"/>
        <v>49079381.275921144</v>
      </c>
      <c r="L176" s="27">
        <f t="shared" si="3"/>
        <v>0</v>
      </c>
    </row>
    <row r="177" spans="3:12">
      <c r="D177" t="s">
        <v>102</v>
      </c>
      <c r="E177" t="s">
        <v>95</v>
      </c>
      <c r="F177" s="26">
        <f>0.2*F178+0.8*F176</f>
        <v>127500.40000000001</v>
      </c>
      <c r="G177" s="26">
        <f>0.2*G178+0.8*G176</f>
        <v>4089.9484396600956</v>
      </c>
      <c r="H177" s="26">
        <v>0</v>
      </c>
      <c r="I177" s="27">
        <v>0</v>
      </c>
      <c r="J177" s="27">
        <v>12000</v>
      </c>
      <c r="K177" s="27">
        <f t="shared" si="2"/>
        <v>49079381.275921144</v>
      </c>
      <c r="L177" s="27">
        <f t="shared" si="3"/>
        <v>0</v>
      </c>
    </row>
    <row r="178" spans="3:12">
      <c r="C178" t="s">
        <v>103</v>
      </c>
      <c r="D178" t="s">
        <v>6</v>
      </c>
      <c r="E178" t="s">
        <v>95</v>
      </c>
      <c r="F178" s="26">
        <v>119550</v>
      </c>
      <c r="G178" s="26">
        <v>4089.9484396600956</v>
      </c>
      <c r="H178" s="26">
        <v>0</v>
      </c>
      <c r="I178" s="26">
        <v>0</v>
      </c>
      <c r="J178" s="27">
        <v>12000</v>
      </c>
      <c r="K178" s="27">
        <f t="shared" si="2"/>
        <v>49079381.275921144</v>
      </c>
      <c r="L178" s="27">
        <f t="shared" si="3"/>
        <v>0</v>
      </c>
    </row>
    <row r="180" spans="3:12">
      <c r="E180" s="26"/>
    </row>
    <row r="181" spans="3:12">
      <c r="E181" s="29"/>
    </row>
    <row r="183" spans="3:12">
      <c r="C183" t="s">
        <v>190</v>
      </c>
    </row>
    <row r="184" spans="3:12">
      <c r="C184" s="24" t="s">
        <v>193</v>
      </c>
      <c r="D184" s="24">
        <v>23.4</v>
      </c>
    </row>
    <row r="185" spans="3:12">
      <c r="C185" s="24" t="s">
        <v>186</v>
      </c>
      <c r="D185" s="24" t="s">
        <v>106</v>
      </c>
      <c r="E185" t="s">
        <v>191</v>
      </c>
      <c r="F185" s="24" t="s">
        <v>245</v>
      </c>
      <c r="G185" s="24" t="s">
        <v>192</v>
      </c>
    </row>
    <row r="186" spans="3:12">
      <c r="C186" t="s">
        <v>107</v>
      </c>
      <c r="D186" s="31">
        <v>1</v>
      </c>
      <c r="E186" s="31">
        <v>1</v>
      </c>
      <c r="F186" t="s">
        <v>107</v>
      </c>
      <c r="G186" s="31">
        <f t="shared" ref="G186:G217" si="4">D186*Baseline_MPG</f>
        <v>23.4</v>
      </c>
    </row>
    <row r="187" spans="3:12">
      <c r="C187" t="s">
        <v>108</v>
      </c>
      <c r="D187" s="31">
        <v>1</v>
      </c>
      <c r="E187" s="31">
        <v>1</v>
      </c>
      <c r="F187" t="s">
        <v>108</v>
      </c>
      <c r="G187" s="31">
        <f t="shared" si="4"/>
        <v>23.4</v>
      </c>
    </row>
    <row r="188" spans="3:12">
      <c r="C188" t="s">
        <v>109</v>
      </c>
      <c r="D188" s="31">
        <v>0.9100000262260437</v>
      </c>
      <c r="E188" s="31">
        <v>0.91</v>
      </c>
      <c r="F188" t="s">
        <v>109</v>
      </c>
      <c r="G188" s="31">
        <f t="shared" si="4"/>
        <v>21.29400061368942</v>
      </c>
    </row>
    <row r="189" spans="3:12">
      <c r="C189" t="s">
        <v>110</v>
      </c>
      <c r="D189" s="31">
        <v>0.94999998807907104</v>
      </c>
      <c r="E189" s="31">
        <v>0.95</v>
      </c>
      <c r="F189" t="s">
        <v>110</v>
      </c>
      <c r="G189" s="31">
        <f t="shared" si="4"/>
        <v>22.229999721050262</v>
      </c>
    </row>
    <row r="190" spans="3:12">
      <c r="C190" t="s">
        <v>111</v>
      </c>
      <c r="D190" s="31">
        <v>0.94999998807907104</v>
      </c>
      <c r="E190" s="31">
        <v>0.95</v>
      </c>
      <c r="F190" t="s">
        <v>111</v>
      </c>
      <c r="G190" s="31">
        <f t="shared" si="4"/>
        <v>22.229999721050262</v>
      </c>
    </row>
    <row r="191" spans="3:12">
      <c r="C191" t="s">
        <v>112</v>
      </c>
      <c r="D191" s="31">
        <v>1</v>
      </c>
      <c r="E191" s="31">
        <v>1</v>
      </c>
      <c r="F191" t="s">
        <v>112</v>
      </c>
      <c r="G191" s="31">
        <f t="shared" si="4"/>
        <v>23.4</v>
      </c>
    </row>
    <row r="192" spans="3:12">
      <c r="C192" t="s">
        <v>113</v>
      </c>
      <c r="D192" s="31">
        <v>1</v>
      </c>
      <c r="E192" s="31">
        <v>1</v>
      </c>
      <c r="F192" t="s">
        <v>113</v>
      </c>
      <c r="G192" s="31">
        <f t="shared" si="4"/>
        <v>23.4</v>
      </c>
    </row>
    <row r="193" spans="3:10">
      <c r="C193" t="s">
        <v>114</v>
      </c>
      <c r="D193" s="31">
        <v>1.0700000524520874</v>
      </c>
      <c r="E193" s="31">
        <v>1.07</v>
      </c>
      <c r="F193" t="s">
        <v>114</v>
      </c>
      <c r="G193" s="31">
        <f t="shared" si="4"/>
        <v>25.038001227378842</v>
      </c>
    </row>
    <row r="194" spans="3:10">
      <c r="C194" t="s">
        <v>115</v>
      </c>
      <c r="D194" s="31">
        <v>1</v>
      </c>
      <c r="E194" s="31">
        <v>1</v>
      </c>
      <c r="F194" t="s">
        <v>115</v>
      </c>
      <c r="G194" s="31">
        <f t="shared" si="4"/>
        <v>23.4</v>
      </c>
    </row>
    <row r="195" spans="3:10">
      <c r="C195" t="s">
        <v>116</v>
      </c>
      <c r="D195" s="31">
        <v>1</v>
      </c>
      <c r="E195" s="31">
        <v>1</v>
      </c>
      <c r="F195" t="s">
        <v>116</v>
      </c>
      <c r="G195" s="31">
        <f t="shared" si="4"/>
        <v>23.4</v>
      </c>
    </row>
    <row r="196" spans="3:10">
      <c r="C196" t="s">
        <v>117</v>
      </c>
      <c r="D196" s="31">
        <v>1.0700000524520874</v>
      </c>
      <c r="E196" s="31">
        <v>1.07</v>
      </c>
      <c r="F196" t="s">
        <v>117</v>
      </c>
      <c r="G196" s="31">
        <f t="shared" si="4"/>
        <v>25.038001227378842</v>
      </c>
    </row>
    <row r="197" spans="3:10">
      <c r="C197" t="s">
        <v>118</v>
      </c>
      <c r="D197" s="31">
        <v>1.2000000476837158</v>
      </c>
      <c r="E197" s="31">
        <v>1.2</v>
      </c>
      <c r="F197" t="s">
        <v>118</v>
      </c>
      <c r="G197" s="31">
        <f t="shared" si="4"/>
        <v>28.08000111579895</v>
      </c>
    </row>
    <row r="198" spans="3:10">
      <c r="C198" t="s">
        <v>119</v>
      </c>
      <c r="D198" s="31">
        <v>1</v>
      </c>
      <c r="E198" s="31">
        <v>1</v>
      </c>
      <c r="F198" t="s">
        <v>119</v>
      </c>
      <c r="G198" s="31">
        <f t="shared" si="4"/>
        <v>23.4</v>
      </c>
    </row>
    <row r="199" spans="3:10">
      <c r="C199" t="s">
        <v>120</v>
      </c>
      <c r="D199" s="31">
        <v>1.1499999761581421</v>
      </c>
      <c r="E199" s="31">
        <v>1.1499999999999999</v>
      </c>
      <c r="F199" t="s">
        <v>120</v>
      </c>
      <c r="G199" s="31">
        <f t="shared" si="4"/>
        <v>26.909999442100524</v>
      </c>
    </row>
    <row r="200" spans="3:10">
      <c r="C200" t="s">
        <v>121</v>
      </c>
      <c r="D200" s="31">
        <v>1.1499999761581421</v>
      </c>
      <c r="E200" s="31">
        <v>1.1499999999999999</v>
      </c>
      <c r="F200" t="s">
        <v>121</v>
      </c>
      <c r="G200" s="31">
        <f t="shared" si="4"/>
        <v>26.909999442100524</v>
      </c>
    </row>
    <row r="201" spans="3:10">
      <c r="C201" t="s">
        <v>122</v>
      </c>
      <c r="D201" s="31">
        <v>1.1499999761581421</v>
      </c>
      <c r="E201" s="31">
        <v>1.1499999999999999</v>
      </c>
      <c r="F201" t="s">
        <v>122</v>
      </c>
      <c r="G201" s="31">
        <f t="shared" si="4"/>
        <v>26.909999442100524</v>
      </c>
    </row>
    <row r="202" spans="3:10">
      <c r="C202" t="s">
        <v>123</v>
      </c>
      <c r="D202" s="31">
        <v>1.1499999761581421</v>
      </c>
      <c r="E202" s="31">
        <v>1.1499999999999999</v>
      </c>
      <c r="F202" t="s">
        <v>123</v>
      </c>
      <c r="G202" s="31">
        <f t="shared" si="4"/>
        <v>26.909999442100524</v>
      </c>
    </row>
    <row r="203" spans="3:10">
      <c r="C203" t="s">
        <v>124</v>
      </c>
      <c r="D203" s="31">
        <v>1.1499999761581421</v>
      </c>
      <c r="E203" s="31">
        <v>1.1499999999999999</v>
      </c>
      <c r="F203" t="s">
        <v>124</v>
      </c>
      <c r="G203" s="31">
        <f t="shared" si="4"/>
        <v>26.909999442100524</v>
      </c>
    </row>
    <row r="204" spans="3:10">
      <c r="C204" t="s">
        <v>125</v>
      </c>
      <c r="D204" s="31">
        <v>1.2000000476837158</v>
      </c>
      <c r="E204" s="31">
        <v>1.2</v>
      </c>
      <c r="F204" t="s">
        <v>125</v>
      </c>
      <c r="G204" s="31">
        <f t="shared" si="4"/>
        <v>28.08000111579895</v>
      </c>
    </row>
    <row r="205" spans="3:10">
      <c r="C205" t="s">
        <v>126</v>
      </c>
      <c r="D205" s="31">
        <v>1.2000000476837158</v>
      </c>
      <c r="E205" s="31">
        <v>1.2</v>
      </c>
      <c r="F205" t="s">
        <v>126</v>
      </c>
      <c r="G205" s="31">
        <f t="shared" si="4"/>
        <v>28.08000111579895</v>
      </c>
    </row>
    <row r="206" spans="3:10">
      <c r="C206" t="s">
        <v>127</v>
      </c>
      <c r="D206" s="31">
        <v>1.2000000476837158</v>
      </c>
      <c r="E206" s="31">
        <v>1.2</v>
      </c>
      <c r="F206" t="s">
        <v>127</v>
      </c>
      <c r="G206" s="31">
        <f t="shared" si="4"/>
        <v>28.08000111579895</v>
      </c>
    </row>
    <row r="207" spans="3:10">
      <c r="C207" t="s">
        <v>128</v>
      </c>
      <c r="D207" s="31">
        <v>1.2000000476837158</v>
      </c>
      <c r="E207" s="31">
        <v>1.2</v>
      </c>
      <c r="F207" t="s">
        <v>128</v>
      </c>
      <c r="G207" s="31">
        <f t="shared" si="4"/>
        <v>28.08000111579895</v>
      </c>
      <c r="J207" s="29"/>
    </row>
    <row r="208" spans="3:10">
      <c r="C208" t="s">
        <v>129</v>
      </c>
      <c r="D208" s="31">
        <v>1.2000000476837158</v>
      </c>
      <c r="E208" s="31">
        <v>1.2</v>
      </c>
      <c r="F208" t="s">
        <v>129</v>
      </c>
      <c r="G208" s="31">
        <f t="shared" si="4"/>
        <v>28.08000111579895</v>
      </c>
    </row>
    <row r="209" spans="3:7">
      <c r="C209" t="s">
        <v>130</v>
      </c>
      <c r="D209" s="31">
        <v>1.2000000476837158</v>
      </c>
      <c r="E209" s="31">
        <v>1.2</v>
      </c>
      <c r="F209" t="s">
        <v>130</v>
      </c>
      <c r="G209" s="31">
        <f t="shared" si="4"/>
        <v>28.08000111579895</v>
      </c>
    </row>
    <row r="210" spans="3:7">
      <c r="C210" t="s">
        <v>131</v>
      </c>
      <c r="D210" s="31">
        <v>1.3999999761581421</v>
      </c>
      <c r="E210" s="31">
        <v>1.4</v>
      </c>
      <c r="F210" t="s">
        <v>131</v>
      </c>
      <c r="G210" s="31">
        <f t="shared" si="4"/>
        <v>32.759999442100522</v>
      </c>
    </row>
    <row r="211" spans="3:7">
      <c r="C211" t="s">
        <v>132</v>
      </c>
      <c r="D211" s="31">
        <v>1.3999999761581421</v>
      </c>
      <c r="E211" s="31">
        <v>1.4</v>
      </c>
      <c r="F211" t="s">
        <v>132</v>
      </c>
      <c r="G211" s="31">
        <f t="shared" si="4"/>
        <v>32.759999442100522</v>
      </c>
    </row>
    <row r="212" spans="3:7">
      <c r="C212" t="s">
        <v>133</v>
      </c>
      <c r="D212" s="31">
        <v>1.3999999761581421</v>
      </c>
      <c r="E212" s="31">
        <v>1.4</v>
      </c>
      <c r="F212" t="s">
        <v>133</v>
      </c>
      <c r="G212" s="31">
        <f t="shared" si="4"/>
        <v>32.759999442100522</v>
      </c>
    </row>
    <row r="213" spans="3:7">
      <c r="C213" t="s">
        <v>134</v>
      </c>
      <c r="D213" s="31">
        <v>1.3999999761581421</v>
      </c>
      <c r="E213" s="31">
        <v>1.4</v>
      </c>
      <c r="F213" t="s">
        <v>134</v>
      </c>
      <c r="G213" s="31">
        <f t="shared" si="4"/>
        <v>32.759999442100522</v>
      </c>
    </row>
    <row r="214" spans="3:7">
      <c r="C214" t="s">
        <v>135</v>
      </c>
      <c r="D214" s="31">
        <v>1.3999999761581421</v>
      </c>
      <c r="E214" s="31">
        <v>1.4</v>
      </c>
      <c r="F214" t="s">
        <v>135</v>
      </c>
      <c r="G214" s="31">
        <f t="shared" si="4"/>
        <v>32.759999442100522</v>
      </c>
    </row>
    <row r="215" spans="3:7">
      <c r="C215" t="s">
        <v>136</v>
      </c>
      <c r="D215" s="31">
        <v>1.3999999761581421</v>
      </c>
      <c r="E215" s="31">
        <v>1.4</v>
      </c>
      <c r="F215" t="s">
        <v>136</v>
      </c>
      <c r="G215" s="31">
        <f t="shared" si="4"/>
        <v>32.759999442100522</v>
      </c>
    </row>
    <row r="216" spans="3:7">
      <c r="C216" t="s">
        <v>137</v>
      </c>
      <c r="D216" s="31">
        <v>1.3999999761581421</v>
      </c>
      <c r="E216" s="31">
        <v>1.4</v>
      </c>
      <c r="F216" t="s">
        <v>137</v>
      </c>
      <c r="G216" s="31">
        <f t="shared" si="4"/>
        <v>32.759999442100522</v>
      </c>
    </row>
    <row r="217" spans="3:7">
      <c r="C217" t="s">
        <v>138</v>
      </c>
      <c r="D217" s="31">
        <v>1.3999999761581421</v>
      </c>
      <c r="E217" s="31">
        <v>1.4</v>
      </c>
      <c r="F217" t="s">
        <v>138</v>
      </c>
      <c r="G217" s="31">
        <f t="shared" si="4"/>
        <v>32.759999442100522</v>
      </c>
    </row>
    <row r="218" spans="3:7">
      <c r="C218" t="s">
        <v>139</v>
      </c>
      <c r="D218" s="31">
        <v>1.6000000238418579</v>
      </c>
      <c r="E218" s="31">
        <v>1.6</v>
      </c>
      <c r="F218" t="s">
        <v>139</v>
      </c>
      <c r="G218" s="31">
        <f t="shared" ref="G218:G249" si="5">D218*Baseline_MPG</f>
        <v>37.440000557899474</v>
      </c>
    </row>
    <row r="219" spans="3:7">
      <c r="C219" t="s">
        <v>140</v>
      </c>
      <c r="D219" s="31">
        <v>2.0690298379843659</v>
      </c>
      <c r="E219" s="31">
        <v>2.0699999999999998</v>
      </c>
      <c r="F219" t="s">
        <v>140</v>
      </c>
      <c r="G219" s="31">
        <f t="shared" si="5"/>
        <v>48.415298208834159</v>
      </c>
    </row>
    <row r="220" spans="3:7">
      <c r="C220" t="s">
        <v>141</v>
      </c>
      <c r="D220" s="31">
        <v>1.4762102271047428</v>
      </c>
      <c r="E220" s="31">
        <v>1.48</v>
      </c>
      <c r="F220" t="s">
        <v>141</v>
      </c>
      <c r="G220" s="31">
        <f t="shared" si="5"/>
        <v>34.543319314250979</v>
      </c>
    </row>
    <row r="221" spans="3:7">
      <c r="C221" t="s">
        <v>142</v>
      </c>
      <c r="D221" s="31">
        <v>2.0690298379843659</v>
      </c>
      <c r="E221" s="31">
        <v>2.0699999999999998</v>
      </c>
      <c r="F221" t="s">
        <v>142</v>
      </c>
      <c r="G221" s="31">
        <f t="shared" si="5"/>
        <v>48.415298208834159</v>
      </c>
    </row>
    <row r="222" spans="3:7">
      <c r="C222" t="s">
        <v>143</v>
      </c>
      <c r="D222" s="31">
        <v>1.4762102271047428</v>
      </c>
      <c r="E222" s="31">
        <v>1.48</v>
      </c>
      <c r="F222" t="s">
        <v>143</v>
      </c>
      <c r="G222" s="31">
        <f t="shared" si="5"/>
        <v>34.543319314250979</v>
      </c>
    </row>
    <row r="223" spans="3:7">
      <c r="C223" t="s">
        <v>144</v>
      </c>
      <c r="D223" s="31">
        <v>2.0690298379843659</v>
      </c>
      <c r="E223" s="31">
        <v>2.0699999999999998</v>
      </c>
      <c r="F223" t="s">
        <v>144</v>
      </c>
      <c r="G223" s="31">
        <f t="shared" si="5"/>
        <v>48.415298208834159</v>
      </c>
    </row>
    <row r="224" spans="3:7">
      <c r="C224" t="s">
        <v>145</v>
      </c>
      <c r="D224" s="31">
        <v>1.4762102271047428</v>
      </c>
      <c r="E224" s="31">
        <v>1.48</v>
      </c>
      <c r="F224" t="s">
        <v>145</v>
      </c>
      <c r="G224" s="31">
        <f t="shared" si="5"/>
        <v>34.543319314250979</v>
      </c>
    </row>
    <row r="225" spans="3:7">
      <c r="C225" t="s">
        <v>146</v>
      </c>
      <c r="D225" s="31">
        <v>2.0690298379843659</v>
      </c>
      <c r="E225" s="31">
        <v>2.0699999999999998</v>
      </c>
      <c r="F225" t="s">
        <v>146</v>
      </c>
      <c r="G225" s="31">
        <f t="shared" si="5"/>
        <v>48.415298208834159</v>
      </c>
    </row>
    <row r="226" spans="3:7">
      <c r="C226" t="s">
        <v>147</v>
      </c>
      <c r="D226" s="31">
        <v>1.4762102271047428</v>
      </c>
      <c r="E226" s="31">
        <v>1.48</v>
      </c>
      <c r="F226" t="s">
        <v>147</v>
      </c>
      <c r="G226" s="31">
        <f t="shared" si="5"/>
        <v>34.543319314250979</v>
      </c>
    </row>
    <row r="227" spans="3:7">
      <c r="C227" t="s">
        <v>148</v>
      </c>
      <c r="D227" s="31">
        <v>2.0690298379843659</v>
      </c>
      <c r="E227" s="31">
        <v>2.0699999999999998</v>
      </c>
      <c r="F227" t="s">
        <v>148</v>
      </c>
      <c r="G227" s="31">
        <f t="shared" si="5"/>
        <v>48.415298208834159</v>
      </c>
    </row>
    <row r="228" spans="3:7">
      <c r="C228" t="s">
        <v>149</v>
      </c>
      <c r="D228" s="31">
        <v>1.4762102271047428</v>
      </c>
      <c r="E228" s="31">
        <v>1.48</v>
      </c>
      <c r="F228" t="s">
        <v>149</v>
      </c>
      <c r="G228" s="31">
        <f t="shared" si="5"/>
        <v>34.543319314250979</v>
      </c>
    </row>
    <row r="229" spans="3:7">
      <c r="C229" t="s">
        <v>150</v>
      </c>
      <c r="D229" s="31">
        <v>2.0690298379843659</v>
      </c>
      <c r="E229" s="31">
        <v>2.0699999999999998</v>
      </c>
      <c r="F229" t="s">
        <v>150</v>
      </c>
      <c r="G229" s="31">
        <f t="shared" si="5"/>
        <v>48.415298208834159</v>
      </c>
    </row>
    <row r="230" spans="3:7">
      <c r="C230" t="s">
        <v>151</v>
      </c>
      <c r="D230" s="31">
        <v>1.4762102271047428</v>
      </c>
      <c r="E230" s="31">
        <v>1.48</v>
      </c>
      <c r="F230" t="s">
        <v>151</v>
      </c>
      <c r="G230" s="31">
        <f t="shared" si="5"/>
        <v>34.543319314250979</v>
      </c>
    </row>
    <row r="231" spans="3:7">
      <c r="C231" t="s">
        <v>152</v>
      </c>
      <c r="D231" s="31">
        <v>1.9860911625204494</v>
      </c>
      <c r="E231" s="31">
        <v>1.99</v>
      </c>
      <c r="F231" t="s">
        <v>152</v>
      </c>
      <c r="G231" s="31">
        <f t="shared" si="5"/>
        <v>46.474533202978513</v>
      </c>
    </row>
    <row r="232" spans="3:7">
      <c r="C232" t="s">
        <v>153</v>
      </c>
      <c r="D232" s="31">
        <v>1.3836788323260438</v>
      </c>
      <c r="E232" s="31">
        <v>1.38</v>
      </c>
      <c r="F232" t="s">
        <v>153</v>
      </c>
      <c r="G232" s="31">
        <f t="shared" si="5"/>
        <v>32.378084676429424</v>
      </c>
    </row>
    <row r="233" spans="3:7">
      <c r="C233" t="s">
        <v>154</v>
      </c>
      <c r="D233" s="31">
        <v>1.9860911625204494</v>
      </c>
      <c r="E233" s="31">
        <v>1.99</v>
      </c>
      <c r="F233" t="s">
        <v>154</v>
      </c>
      <c r="G233" s="31">
        <f t="shared" si="5"/>
        <v>46.474533202978513</v>
      </c>
    </row>
    <row r="234" spans="3:7">
      <c r="C234" t="s">
        <v>155</v>
      </c>
      <c r="D234" s="31">
        <v>1.3836788323260438</v>
      </c>
      <c r="E234" s="31">
        <v>1.38</v>
      </c>
      <c r="F234" t="s">
        <v>155</v>
      </c>
      <c r="G234" s="31">
        <f t="shared" si="5"/>
        <v>32.378084676429424</v>
      </c>
    </row>
    <row r="235" spans="3:7">
      <c r="C235" t="s">
        <v>156</v>
      </c>
      <c r="D235" s="31">
        <v>2.1646807127296479</v>
      </c>
      <c r="E235" s="31">
        <v>2.16</v>
      </c>
      <c r="F235" t="s">
        <v>156</v>
      </c>
      <c r="G235" s="31">
        <f t="shared" si="5"/>
        <v>50.653528677873759</v>
      </c>
    </row>
    <row r="236" spans="3:7">
      <c r="C236" t="s">
        <v>157</v>
      </c>
      <c r="D236" s="31">
        <v>1.5876110871852744</v>
      </c>
      <c r="E236" s="31">
        <v>1.59</v>
      </c>
      <c r="F236" t="s">
        <v>157</v>
      </c>
      <c r="G236" s="31">
        <f t="shared" si="5"/>
        <v>37.150099440135421</v>
      </c>
    </row>
    <row r="237" spans="3:7">
      <c r="C237" t="s">
        <v>158</v>
      </c>
      <c r="D237" s="31">
        <v>1.6000000238418579</v>
      </c>
      <c r="E237" s="31">
        <v>1.6</v>
      </c>
      <c r="F237" t="s">
        <v>158</v>
      </c>
      <c r="G237" s="31">
        <f t="shared" si="5"/>
        <v>37.440000557899474</v>
      </c>
    </row>
    <row r="238" spans="3:7">
      <c r="C238" t="s">
        <v>159</v>
      </c>
      <c r="D238" s="31">
        <v>1.6000000238418579</v>
      </c>
      <c r="E238" s="31">
        <v>1.6</v>
      </c>
      <c r="F238" t="s">
        <v>159</v>
      </c>
      <c r="G238" s="31">
        <f t="shared" si="5"/>
        <v>37.440000557899474</v>
      </c>
    </row>
    <row r="239" spans="3:7">
      <c r="C239" t="s">
        <v>160</v>
      </c>
      <c r="D239" s="31">
        <v>1.6000000238418579</v>
      </c>
      <c r="E239" s="31">
        <v>1.6</v>
      </c>
      <c r="F239" t="s">
        <v>160</v>
      </c>
      <c r="G239" s="31">
        <f t="shared" si="5"/>
        <v>37.440000557899474</v>
      </c>
    </row>
    <row r="240" spans="3:7">
      <c r="C240" t="s">
        <v>161</v>
      </c>
      <c r="D240" s="31">
        <v>1.6000000238418579</v>
      </c>
      <c r="E240" s="31">
        <v>1.6</v>
      </c>
      <c r="F240" t="s">
        <v>161</v>
      </c>
      <c r="G240" s="31">
        <f t="shared" si="5"/>
        <v>37.440000557899474</v>
      </c>
    </row>
    <row r="241" spans="3:7">
      <c r="C241" t="s">
        <v>162</v>
      </c>
      <c r="D241" s="31">
        <v>1.6000000238418579</v>
      </c>
      <c r="E241" s="31">
        <v>1.6</v>
      </c>
      <c r="F241" t="s">
        <v>162</v>
      </c>
      <c r="G241" s="31">
        <f t="shared" si="5"/>
        <v>37.440000557899474</v>
      </c>
    </row>
    <row r="242" spans="3:7">
      <c r="C242" t="s">
        <v>163</v>
      </c>
      <c r="D242" s="31">
        <v>2.0768327335507579</v>
      </c>
      <c r="E242" s="31">
        <v>2.08</v>
      </c>
      <c r="F242" t="s">
        <v>163</v>
      </c>
      <c r="G242" s="31">
        <f t="shared" si="5"/>
        <v>48.597885965087734</v>
      </c>
    </row>
    <row r="243" spans="3:7">
      <c r="C243" t="s">
        <v>164</v>
      </c>
      <c r="D243" s="31">
        <v>1.4653684865100818</v>
      </c>
      <c r="E243" s="31">
        <v>1.47</v>
      </c>
      <c r="F243" t="s">
        <v>164</v>
      </c>
      <c r="G243" s="31">
        <f t="shared" si="5"/>
        <v>34.289622584335909</v>
      </c>
    </row>
    <row r="244" spans="3:7">
      <c r="C244" t="s">
        <v>165</v>
      </c>
      <c r="D244" s="31">
        <v>2.0768327335507579</v>
      </c>
      <c r="E244" s="31">
        <v>2.08</v>
      </c>
      <c r="F244" t="s">
        <v>165</v>
      </c>
      <c r="G244" s="31">
        <f t="shared" si="5"/>
        <v>48.597885965087734</v>
      </c>
    </row>
    <row r="245" spans="3:7">
      <c r="C245" t="s">
        <v>166</v>
      </c>
      <c r="D245" s="31">
        <v>1.4653684865100818</v>
      </c>
      <c r="E245" s="31">
        <v>1.47</v>
      </c>
      <c r="F245" t="s">
        <v>166</v>
      </c>
      <c r="G245" s="31">
        <f t="shared" si="5"/>
        <v>34.289622584335909</v>
      </c>
    </row>
    <row r="246" spans="3:7">
      <c r="C246" t="s">
        <v>167</v>
      </c>
      <c r="D246" s="31">
        <v>2.0768327335507579</v>
      </c>
      <c r="E246" s="31">
        <v>2.08</v>
      </c>
      <c r="F246" t="s">
        <v>167</v>
      </c>
      <c r="G246" s="31">
        <f t="shared" si="5"/>
        <v>48.597885965087734</v>
      </c>
    </row>
    <row r="247" spans="3:7">
      <c r="C247" t="s">
        <v>168</v>
      </c>
      <c r="D247" s="31">
        <v>1.4653684865100818</v>
      </c>
      <c r="E247" s="31">
        <v>1.47</v>
      </c>
      <c r="F247" t="s">
        <v>168</v>
      </c>
      <c r="G247" s="31">
        <f t="shared" si="5"/>
        <v>34.289622584335909</v>
      </c>
    </row>
    <row r="248" spans="3:7">
      <c r="C248" t="s">
        <v>169</v>
      </c>
      <c r="D248" s="31">
        <v>2.0768327335507579</v>
      </c>
      <c r="E248" s="31">
        <v>2.08</v>
      </c>
      <c r="F248" t="s">
        <v>169</v>
      </c>
      <c r="G248" s="31">
        <f t="shared" si="5"/>
        <v>48.597885965087734</v>
      </c>
    </row>
    <row r="249" spans="3:7">
      <c r="C249" t="s">
        <v>170</v>
      </c>
      <c r="D249" s="31">
        <v>1.4653684865100818</v>
      </c>
      <c r="E249" s="31">
        <v>1.47</v>
      </c>
      <c r="F249" t="s">
        <v>170</v>
      </c>
      <c r="G249" s="31">
        <f t="shared" si="5"/>
        <v>34.289622584335909</v>
      </c>
    </row>
    <row r="250" spans="3:7">
      <c r="C250" t="s">
        <v>171</v>
      </c>
      <c r="D250" s="31">
        <v>2.0768327335507579</v>
      </c>
      <c r="E250" s="31">
        <v>2.08</v>
      </c>
      <c r="F250" t="s">
        <v>171</v>
      </c>
      <c r="G250" s="31">
        <f t="shared" ref="G250:G264" si="6">D250*Baseline_MPG</f>
        <v>48.597885965087734</v>
      </c>
    </row>
    <row r="251" spans="3:7">
      <c r="C251" t="s">
        <v>172</v>
      </c>
      <c r="D251" s="31">
        <v>1.4653684865100818</v>
      </c>
      <c r="E251" s="31">
        <v>1.47</v>
      </c>
      <c r="F251" t="s">
        <v>172</v>
      </c>
      <c r="G251" s="31">
        <f t="shared" si="6"/>
        <v>34.289622584335909</v>
      </c>
    </row>
    <row r="252" spans="3:7">
      <c r="C252" t="s">
        <v>173</v>
      </c>
      <c r="D252" s="31">
        <v>3.4000000953674316</v>
      </c>
      <c r="E252" s="31">
        <v>3.4</v>
      </c>
      <c r="F252" t="s">
        <v>173</v>
      </c>
      <c r="G252" s="31">
        <f t="shared" si="6"/>
        <v>79.560002231597892</v>
      </c>
    </row>
    <row r="253" spans="3:7">
      <c r="C253" t="s">
        <v>174</v>
      </c>
      <c r="D253" s="31">
        <v>2.2999999523162842</v>
      </c>
      <c r="E253" s="31">
        <v>2.2999999999999998</v>
      </c>
      <c r="F253" t="s">
        <v>174</v>
      </c>
      <c r="G253" s="31">
        <f t="shared" si="6"/>
        <v>53.819998884201048</v>
      </c>
    </row>
    <row r="254" spans="3:7">
      <c r="C254" t="s">
        <v>175</v>
      </c>
      <c r="D254" s="31">
        <v>1.5800000429153442</v>
      </c>
      <c r="E254" s="31">
        <v>1.58</v>
      </c>
      <c r="F254" t="s">
        <v>175</v>
      </c>
      <c r="G254" s="31">
        <f t="shared" si="6"/>
        <v>36.972001004219052</v>
      </c>
    </row>
    <row r="255" spans="3:7">
      <c r="C255" t="s">
        <v>176</v>
      </c>
      <c r="D255" s="31">
        <v>1.4800000190734863</v>
      </c>
      <c r="E255" s="31">
        <v>1.48</v>
      </c>
      <c r="F255" t="s">
        <v>176</v>
      </c>
      <c r="G255" s="31">
        <f t="shared" si="6"/>
        <v>34.63200044631958</v>
      </c>
    </row>
    <row r="256" spans="3:7">
      <c r="C256" t="s">
        <v>177</v>
      </c>
      <c r="D256" s="31">
        <v>1.4800000190734863</v>
      </c>
      <c r="E256" s="31">
        <v>1.48</v>
      </c>
      <c r="F256" t="s">
        <v>177</v>
      </c>
      <c r="G256" s="31">
        <f t="shared" si="6"/>
        <v>34.63200044631958</v>
      </c>
    </row>
    <row r="257" spans="3:7">
      <c r="C257" t="s">
        <v>178</v>
      </c>
      <c r="D257" s="31">
        <v>1.4800000190734863</v>
      </c>
      <c r="E257" s="31">
        <v>1.48</v>
      </c>
      <c r="F257" t="s">
        <v>178</v>
      </c>
      <c r="G257" s="31">
        <f t="shared" si="6"/>
        <v>34.63200044631958</v>
      </c>
    </row>
    <row r="258" spans="3:7">
      <c r="C258" t="s">
        <v>179</v>
      </c>
      <c r="D258" s="31">
        <v>1.4800000190734863</v>
      </c>
      <c r="E258" s="31">
        <v>1.48</v>
      </c>
      <c r="F258" t="s">
        <v>179</v>
      </c>
      <c r="G258" s="31">
        <f t="shared" si="6"/>
        <v>34.63200044631958</v>
      </c>
    </row>
    <row r="259" spans="3:7">
      <c r="C259" t="s">
        <v>180</v>
      </c>
      <c r="D259" s="31">
        <v>1.4800000190734863</v>
      </c>
      <c r="E259" s="31">
        <v>1.48</v>
      </c>
      <c r="F259" t="s">
        <v>180</v>
      </c>
      <c r="G259" s="31">
        <f t="shared" si="6"/>
        <v>34.63200044631958</v>
      </c>
    </row>
    <row r="260" spans="3:7">
      <c r="C260" t="s">
        <v>181</v>
      </c>
      <c r="D260" s="31">
        <v>1.4800000190734863</v>
      </c>
      <c r="E260" s="31">
        <v>1.48</v>
      </c>
      <c r="F260" t="s">
        <v>181</v>
      </c>
      <c r="G260" s="31">
        <f t="shared" si="6"/>
        <v>34.63200044631958</v>
      </c>
    </row>
    <row r="261" spans="3:7">
      <c r="C261" t="s">
        <v>182</v>
      </c>
      <c r="D261" s="31">
        <v>1.4800000190734863</v>
      </c>
      <c r="E261" s="31">
        <v>1.48</v>
      </c>
      <c r="F261" t="s">
        <v>182</v>
      </c>
      <c r="G261" s="31">
        <f t="shared" si="6"/>
        <v>34.63200044631958</v>
      </c>
    </row>
    <row r="262" spans="3:7">
      <c r="C262" t="s">
        <v>183</v>
      </c>
      <c r="D262" s="31">
        <v>1.4800000190734863</v>
      </c>
      <c r="E262" s="31">
        <v>1.48</v>
      </c>
      <c r="F262" t="s">
        <v>183</v>
      </c>
      <c r="G262" s="31">
        <f t="shared" si="6"/>
        <v>34.63200044631958</v>
      </c>
    </row>
    <row r="263" spans="3:7">
      <c r="C263" t="s">
        <v>184</v>
      </c>
      <c r="D263" s="31">
        <v>2.2326420078723004</v>
      </c>
      <c r="E263" s="31">
        <v>2.23</v>
      </c>
      <c r="F263" t="s">
        <v>184</v>
      </c>
      <c r="G263" s="31">
        <f t="shared" si="6"/>
        <v>52.243822984211825</v>
      </c>
    </row>
    <row r="264" spans="3:7">
      <c r="C264" t="s">
        <v>185</v>
      </c>
      <c r="D264" s="31">
        <v>1.8523070694438926</v>
      </c>
      <c r="E264" s="31">
        <v>1.85</v>
      </c>
      <c r="F264" t="s">
        <v>185</v>
      </c>
      <c r="G264" s="31">
        <f t="shared" si="6"/>
        <v>43.343985424987082</v>
      </c>
    </row>
  </sheetData>
  <mergeCells count="4">
    <mergeCell ref="L102:L115"/>
    <mergeCell ref="J31:O31"/>
    <mergeCell ref="J26:O29"/>
    <mergeCell ref="U53:AF53"/>
  </mergeCells>
  <dataValidations count="2">
    <dataValidation allowBlank="1" showInputMessage="1" showErrorMessage="1" prompt="Assume utility bucket truck" sqref="D65" xr:uid="{B80B59D2-5F16-0549-8572-2EF2F905B63E}"/>
    <dataValidation allowBlank="1" showInputMessage="1" showErrorMessage="1" prompt="assume long-haul truck hotelling" sqref="E65:F65" xr:uid="{5DD11CE6-057E-1D44-8BF2-849D67F6EC75}"/>
  </dataValidations>
  <hyperlinks>
    <hyperlink ref="K36" r:id="rId1" xr:uid="{05A791EE-0A4D-9247-BB90-37432B12757C}"/>
    <hyperlink ref="F88" r:id="rId2" xr:uid="{A2F71838-F9E3-DD4B-BA5E-2D99E5489AF3}"/>
    <hyperlink ref="X50" r:id="rId3" xr:uid="{04388969-2927-B247-A89D-A42BD2D60B43}"/>
  </hyperlinks>
  <pageMargins left="0.75" right="0.75" top="1" bottom="1" header="0.5" footer="0.5"/>
  <pageSetup orientation="portrait" horizontalDpi="4294967292" verticalDpi="4294967292"/>
  <drawing r:id="rId4"/>
  <tableParts count="9">
    <tablePart r:id="rId5"/>
    <tablePart r:id="rId6"/>
    <tablePart r:id="rId7"/>
    <tablePart r:id="rId8"/>
    <tablePart r:id="rId9"/>
    <tablePart r:id="rId10"/>
    <tablePart r:id="rId11"/>
    <tablePart r:id="rId12"/>
    <tablePart r:id="rId13"/>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O48"/>
  <sheetViews>
    <sheetView showGridLines="0" topLeftCell="A19" zoomScale="80" zoomScaleNormal="80" zoomScalePageLayoutView="80" workbookViewId="0">
      <selection activeCell="F46" sqref="F46"/>
    </sheetView>
  </sheetViews>
  <sheetFormatPr baseColWidth="10" defaultColWidth="8.83203125" defaultRowHeight="16"/>
  <cols>
    <col min="1" max="1" width="8.83203125" style="1"/>
    <col min="2" max="2" width="19.1640625" style="1" customWidth="1"/>
    <col min="3" max="11" width="19.33203125" style="1" customWidth="1"/>
    <col min="12" max="16" width="17.6640625" style="1" customWidth="1"/>
    <col min="17" max="16384" width="8.83203125" style="1"/>
  </cols>
  <sheetData>
    <row r="1" spans="1:12">
      <c r="A1"/>
      <c r="B1"/>
      <c r="C1"/>
      <c r="D1"/>
      <c r="E1"/>
      <c r="F1"/>
      <c r="G1"/>
      <c r="H1"/>
      <c r="I1"/>
      <c r="J1"/>
      <c r="K1"/>
      <c r="L1"/>
    </row>
    <row r="2" spans="1:12">
      <c r="A2"/>
      <c r="B2"/>
      <c r="C2"/>
      <c r="D2"/>
      <c r="E2"/>
      <c r="F2"/>
      <c r="G2"/>
      <c r="H2"/>
      <c r="I2"/>
      <c r="J2"/>
      <c r="K2"/>
      <c r="L2"/>
    </row>
    <row r="3" spans="1:12" ht="20" thickBot="1">
      <c r="A3"/>
      <c r="B3" s="237" t="s">
        <v>358</v>
      </c>
      <c r="C3" s="237"/>
      <c r="D3" s="237" t="s">
        <v>359</v>
      </c>
      <c r="E3" s="237"/>
      <c r="F3" s="165"/>
      <c r="G3" s="165"/>
      <c r="H3" s="165"/>
      <c r="I3" s="165"/>
      <c r="J3"/>
      <c r="K3"/>
      <c r="L3"/>
    </row>
    <row r="4" spans="1:12" ht="18" customHeight="1" thickTop="1">
      <c r="A4"/>
      <c r="B4" s="238" t="s">
        <v>360</v>
      </c>
      <c r="C4" s="238"/>
      <c r="D4" s="241">
        <f>Alt_Fuel_GGE</f>
        <v>0</v>
      </c>
      <c r="E4" s="241"/>
      <c r="F4" s="165"/>
      <c r="G4" s="165"/>
      <c r="H4" s="165"/>
      <c r="I4" s="165"/>
      <c r="J4"/>
      <c r="K4"/>
      <c r="L4"/>
    </row>
    <row r="5" spans="1:12" ht="18" customHeight="1">
      <c r="A5"/>
      <c r="B5" s="239" t="s">
        <v>367</v>
      </c>
      <c r="C5" s="239"/>
      <c r="D5" s="235">
        <f>PHEV_GGE</f>
        <v>0</v>
      </c>
      <c r="E5" s="235"/>
      <c r="F5" s="165"/>
      <c r="G5" s="165"/>
      <c r="H5" s="165"/>
      <c r="I5" s="165"/>
      <c r="J5"/>
      <c r="K5"/>
      <c r="L5"/>
    </row>
    <row r="6" spans="1:12" ht="18" customHeight="1">
      <c r="A6"/>
      <c r="B6" s="239" t="s">
        <v>361</v>
      </c>
      <c r="C6" s="239"/>
      <c r="D6" s="235">
        <f>Biodiesel_GGE</f>
        <v>0</v>
      </c>
      <c r="E6" s="235"/>
      <c r="F6" s="165"/>
      <c r="G6" s="165"/>
      <c r="H6" s="165"/>
      <c r="I6" s="165"/>
      <c r="J6"/>
      <c r="K6"/>
      <c r="L6"/>
    </row>
    <row r="7" spans="1:12" ht="18" customHeight="1">
      <c r="A7"/>
      <c r="B7" s="239" t="s">
        <v>362</v>
      </c>
      <c r="C7" s="239"/>
      <c r="D7" s="235">
        <f>Replace_vehicles_GGE</f>
        <v>0</v>
      </c>
      <c r="E7" s="235"/>
      <c r="F7" s="165"/>
      <c r="G7" s="165"/>
      <c r="H7" s="165"/>
      <c r="I7" s="165"/>
      <c r="J7"/>
      <c r="K7"/>
      <c r="L7"/>
    </row>
    <row r="8" spans="1:12" ht="18" customHeight="1">
      <c r="A8"/>
      <c r="B8" s="239" t="s">
        <v>363</v>
      </c>
      <c r="C8" s="239"/>
      <c r="D8" s="235">
        <f>VMT_GGE</f>
        <v>0</v>
      </c>
      <c r="E8" s="235"/>
      <c r="F8" s="165"/>
      <c r="G8" s="165"/>
      <c r="H8" s="165"/>
      <c r="I8" s="165"/>
      <c r="J8"/>
      <c r="K8"/>
      <c r="L8"/>
    </row>
    <row r="9" spans="1:12" ht="18" customHeight="1">
      <c r="A9"/>
      <c r="B9" s="239" t="s">
        <v>364</v>
      </c>
      <c r="C9" s="239"/>
      <c r="D9" s="235">
        <f>TruckStopIR_GGE</f>
        <v>0</v>
      </c>
      <c r="E9" s="235"/>
      <c r="F9" s="165"/>
      <c r="G9" s="165"/>
      <c r="H9" s="165"/>
      <c r="I9" s="165"/>
      <c r="J9"/>
      <c r="K9"/>
      <c r="L9"/>
    </row>
    <row r="10" spans="1:12" ht="18" customHeight="1">
      <c r="A10"/>
      <c r="B10" s="239" t="s">
        <v>365</v>
      </c>
      <c r="C10" s="239"/>
      <c r="D10" s="235">
        <f>VehicleIR_GGE</f>
        <v>0</v>
      </c>
      <c r="E10" s="235"/>
      <c r="F10" s="165"/>
      <c r="G10" s="165"/>
      <c r="H10" s="165"/>
      <c r="I10" s="165"/>
      <c r="J10"/>
      <c r="K10"/>
      <c r="L10"/>
    </row>
    <row r="11" spans="1:12" ht="18" customHeight="1" thickBot="1">
      <c r="A11"/>
      <c r="B11" s="240" t="s">
        <v>366</v>
      </c>
      <c r="C11" s="240"/>
      <c r="D11" s="236">
        <f>OnboardIR_GGE</f>
        <v>0</v>
      </c>
      <c r="E11" s="236"/>
      <c r="F11" s="165"/>
      <c r="G11" s="165"/>
      <c r="H11" s="165"/>
      <c r="I11" s="165"/>
      <c r="J11"/>
      <c r="K11"/>
      <c r="L11"/>
    </row>
    <row r="12" spans="1:12" ht="18" customHeight="1">
      <c r="A12"/>
      <c r="B12" s="165"/>
      <c r="C12" s="165"/>
      <c r="D12" s="165"/>
      <c r="E12" s="165"/>
      <c r="F12" s="165"/>
      <c r="G12" s="165"/>
      <c r="H12" s="165"/>
      <c r="I12" s="165"/>
      <c r="J12"/>
      <c r="K12"/>
      <c r="L12"/>
    </row>
    <row r="13" spans="1:12" ht="18" customHeight="1">
      <c r="A13"/>
      <c r="B13" s="165"/>
      <c r="C13" s="165"/>
      <c r="D13" s="165"/>
      <c r="E13" s="165"/>
      <c r="F13" s="165"/>
      <c r="G13" s="165"/>
      <c r="H13" s="165"/>
      <c r="I13" s="165"/>
      <c r="J13"/>
      <c r="K13"/>
      <c r="L13"/>
    </row>
    <row r="14" spans="1:12" ht="18" customHeight="1">
      <c r="A14"/>
      <c r="B14" s="165"/>
      <c r="C14" s="165"/>
      <c r="D14" s="165"/>
      <c r="E14" s="165"/>
      <c r="F14" s="165"/>
      <c r="G14" s="165"/>
      <c r="H14" s="165"/>
      <c r="I14" s="165"/>
      <c r="J14"/>
      <c r="K14"/>
      <c r="L14"/>
    </row>
    <row r="15" spans="1:12" ht="18" customHeight="1">
      <c r="A15"/>
      <c r="B15" s="165"/>
      <c r="C15" s="165"/>
      <c r="D15" s="165"/>
      <c r="E15" s="165"/>
      <c r="F15" s="165"/>
      <c r="G15" s="165"/>
      <c r="H15" s="165"/>
      <c r="I15" s="165"/>
      <c r="J15"/>
      <c r="K15"/>
      <c r="L15"/>
    </row>
    <row r="16" spans="1:12" ht="18" customHeight="1">
      <c r="A16"/>
      <c r="B16" s="165"/>
      <c r="C16" s="165"/>
      <c r="D16" s="165"/>
      <c r="E16" s="165"/>
      <c r="F16" s="165"/>
      <c r="G16" s="165"/>
      <c r="H16" s="165"/>
      <c r="I16" s="165"/>
      <c r="J16"/>
      <c r="K16"/>
      <c r="L16"/>
    </row>
    <row r="17" spans="1:12" ht="18" customHeight="1">
      <c r="A17"/>
      <c r="B17" s="165"/>
      <c r="C17" s="165"/>
      <c r="D17" s="165"/>
      <c r="E17" s="165"/>
      <c r="F17" s="165"/>
      <c r="G17" s="165"/>
      <c r="H17" s="165"/>
      <c r="I17" s="165"/>
      <c r="J17"/>
      <c r="K17"/>
      <c r="L17"/>
    </row>
    <row r="18" spans="1:12" ht="18" customHeight="1">
      <c r="A18"/>
      <c r="B18" s="165"/>
      <c r="C18" s="165"/>
      <c r="D18" s="165"/>
      <c r="E18" s="165"/>
      <c r="F18" s="165"/>
      <c r="G18" s="165"/>
      <c r="H18" s="165"/>
      <c r="I18" s="165"/>
      <c r="J18"/>
      <c r="K18"/>
      <c r="L18"/>
    </row>
    <row r="19" spans="1:12" ht="18" customHeight="1">
      <c r="A19"/>
      <c r="B19" s="165"/>
      <c r="C19" s="165"/>
      <c r="D19" s="165"/>
      <c r="E19" s="165"/>
      <c r="F19" s="165"/>
      <c r="G19" s="165"/>
      <c r="H19" s="165"/>
      <c r="I19" s="165"/>
      <c r="J19"/>
      <c r="K19"/>
      <c r="L19"/>
    </row>
    <row r="20" spans="1:12" ht="18" customHeight="1">
      <c r="A20"/>
      <c r="B20" s="165"/>
      <c r="C20" s="165"/>
      <c r="D20" s="165"/>
      <c r="E20" s="165"/>
      <c r="F20" s="165"/>
      <c r="G20" s="165"/>
      <c r="H20" s="165"/>
      <c r="I20" s="165"/>
      <c r="J20"/>
      <c r="K20"/>
      <c r="L20"/>
    </row>
    <row r="21" spans="1:12" ht="18" customHeight="1">
      <c r="A21"/>
      <c r="B21" s="165"/>
      <c r="C21" s="165"/>
      <c r="D21" s="165"/>
      <c r="E21" s="165"/>
      <c r="F21" s="165"/>
      <c r="G21" s="165"/>
      <c r="H21" s="165"/>
      <c r="I21" s="165"/>
      <c r="J21"/>
      <c r="K21"/>
      <c r="L21"/>
    </row>
    <row r="22" spans="1:12" ht="18" customHeight="1">
      <c r="A22"/>
      <c r="B22" s="165"/>
      <c r="C22" s="165"/>
      <c r="D22" s="165"/>
      <c r="E22" s="165"/>
      <c r="F22" s="165"/>
      <c r="G22" s="165"/>
      <c r="H22" s="165"/>
      <c r="I22" s="165"/>
      <c r="J22"/>
      <c r="K22"/>
      <c r="L22"/>
    </row>
    <row r="23" spans="1:12" ht="18" customHeight="1">
      <c r="A23"/>
      <c r="J23"/>
      <c r="K23"/>
      <c r="L23"/>
    </row>
    <row r="24" spans="1:12" ht="18" customHeight="1">
      <c r="A24"/>
      <c r="J24"/>
      <c r="K24"/>
      <c r="L24"/>
    </row>
    <row r="25" spans="1:12" ht="18" customHeight="1">
      <c r="A25"/>
      <c r="J25"/>
      <c r="K25"/>
      <c r="L25"/>
    </row>
    <row r="26" spans="1:12" ht="18" customHeight="1">
      <c r="A26"/>
      <c r="J26"/>
      <c r="K26"/>
      <c r="L26"/>
    </row>
    <row r="27" spans="1:12" ht="18" customHeight="1">
      <c r="A27"/>
      <c r="J27"/>
      <c r="K27"/>
      <c r="L27"/>
    </row>
    <row r="28" spans="1:12" ht="18" customHeight="1">
      <c r="A28"/>
      <c r="J28"/>
      <c r="K28"/>
      <c r="L28"/>
    </row>
    <row r="29" spans="1:12" ht="18" customHeight="1">
      <c r="A29"/>
      <c r="J29"/>
      <c r="K29"/>
      <c r="L29"/>
    </row>
    <row r="30" spans="1:12" ht="18" customHeight="1">
      <c r="A30"/>
      <c r="J30"/>
      <c r="K30"/>
      <c r="L30"/>
    </row>
    <row r="31" spans="1:12">
      <c r="B31"/>
      <c r="C31"/>
      <c r="D31"/>
      <c r="E31"/>
      <c r="F31"/>
      <c r="G31"/>
      <c r="H31"/>
      <c r="I31"/>
    </row>
    <row r="32" spans="1:12" ht="65" customHeight="1">
      <c r="B32"/>
      <c r="C32"/>
      <c r="D32"/>
      <c r="E32"/>
      <c r="F32"/>
      <c r="G32"/>
      <c r="H32"/>
      <c r="I32"/>
    </row>
    <row r="33" spans="2:15" ht="30.75" customHeight="1">
      <c r="B33" s="38" t="s">
        <v>304</v>
      </c>
      <c r="C33" s="36"/>
      <c r="D33" s="36"/>
      <c r="E33" s="36"/>
      <c r="F33" s="34"/>
      <c r="G33" s="34"/>
      <c r="H33" s="34"/>
      <c r="I33" s="34"/>
      <c r="J33" s="34"/>
      <c r="K33" s="34"/>
      <c r="L33" s="34"/>
      <c r="M33" s="34"/>
      <c r="N33" s="34"/>
    </row>
    <row r="34" spans="2:15" ht="19" customHeight="1">
      <c r="B34" s="255" t="s">
        <v>437</v>
      </c>
      <c r="C34" s="255"/>
      <c r="D34" s="255"/>
      <c r="E34" s="255"/>
      <c r="F34" s="255"/>
      <c r="G34" s="255"/>
      <c r="H34" s="255"/>
      <c r="I34" s="255"/>
      <c r="J34" s="71"/>
      <c r="K34" s="71"/>
      <c r="L34" s="71"/>
      <c r="M34" s="71"/>
      <c r="N34" s="37"/>
    </row>
    <row r="35" spans="2:15" ht="19" customHeight="1">
      <c r="B35" s="255"/>
      <c r="C35" s="255"/>
      <c r="D35" s="255"/>
      <c r="E35" s="255"/>
      <c r="F35" s="255"/>
      <c r="G35" s="255"/>
      <c r="H35" s="255"/>
      <c r="I35" s="255"/>
      <c r="J35" s="69"/>
      <c r="K35" s="69"/>
      <c r="L35" s="69"/>
      <c r="M35" s="69"/>
      <c r="N35" s="69"/>
    </row>
    <row r="36" spans="2:15" ht="19">
      <c r="B36" s="287" t="s">
        <v>388</v>
      </c>
      <c r="C36" s="287"/>
      <c r="D36" s="92">
        <f>SUM(tbl_AltFuel[Petroleum Reduction (GGE)])</f>
        <v>0</v>
      </c>
      <c r="E36" s="43" t="s">
        <v>52</v>
      </c>
      <c r="F36"/>
      <c r="G36" s="34"/>
      <c r="H36" s="34"/>
      <c r="I36" s="34"/>
      <c r="J36" s="34"/>
      <c r="K36" s="34"/>
      <c r="L36" s="34"/>
      <c r="M36" s="37"/>
      <c r="N36" s="37"/>
    </row>
    <row r="37" spans="2:15">
      <c r="B37"/>
      <c r="C37" s="70"/>
      <c r="D37" s="70"/>
      <c r="E37" s="70"/>
      <c r="F37" s="70"/>
      <c r="G37" s="34"/>
      <c r="H37" s="34"/>
      <c r="I37" s="34"/>
      <c r="J37" s="34"/>
      <c r="K37" s="34"/>
      <c r="L37" s="34"/>
      <c r="M37" s="37"/>
      <c r="N37" s="37"/>
    </row>
    <row r="38" spans="2:15" ht="18.75" customHeight="1">
      <c r="B38" s="283" t="s">
        <v>421</v>
      </c>
      <c r="C38" s="283"/>
      <c r="D38" s="283"/>
      <c r="E38" s="283"/>
      <c r="F38" s="283"/>
      <c r="G38" s="283"/>
      <c r="H38" s="283"/>
      <c r="I38"/>
      <c r="J38"/>
      <c r="K38"/>
      <c r="L38"/>
      <c r="M38"/>
      <c r="N38"/>
      <c r="O38"/>
    </row>
    <row r="39" spans="2:15" ht="33" customHeight="1" thickBot="1">
      <c r="B39" s="284"/>
      <c r="C39" s="284"/>
      <c r="D39" s="284"/>
      <c r="E39" s="284"/>
      <c r="F39" s="284"/>
      <c r="G39" s="284"/>
      <c r="H39" s="284"/>
      <c r="I39"/>
      <c r="J39"/>
      <c r="K39"/>
      <c r="L39"/>
      <c r="M39"/>
      <c r="N39"/>
      <c r="O39"/>
    </row>
    <row r="40" spans="2:15" ht="20" thickBot="1">
      <c r="B40" s="285" t="s">
        <v>301</v>
      </c>
      <c r="C40" s="286"/>
      <c r="D40" s="286"/>
      <c r="E40" s="286"/>
      <c r="F40" s="286"/>
      <c r="G40" s="286"/>
      <c r="H40" s="286"/>
      <c r="I40"/>
      <c r="J40"/>
      <c r="K40"/>
      <c r="L40"/>
      <c r="M40"/>
      <c r="N40"/>
      <c r="O40"/>
    </row>
    <row r="41" spans="2:15" ht="78" customHeight="1">
      <c r="B41" s="39" t="s">
        <v>393</v>
      </c>
      <c r="C41" s="39" t="s">
        <v>394</v>
      </c>
      <c r="D41" s="39" t="s">
        <v>395</v>
      </c>
      <c r="E41" s="40" t="s">
        <v>0</v>
      </c>
      <c r="F41" s="41" t="s">
        <v>396</v>
      </c>
      <c r="G41" s="41" t="s">
        <v>397</v>
      </c>
      <c r="H41" s="41" t="s">
        <v>371</v>
      </c>
      <c r="I41"/>
      <c r="J41"/>
      <c r="K41"/>
      <c r="L41"/>
      <c r="M41"/>
      <c r="N41"/>
      <c r="O41"/>
    </row>
    <row r="42" spans="2:15" ht="17">
      <c r="B42" s="125"/>
      <c r="C42" s="44"/>
      <c r="D42" s="44"/>
      <c r="E42" s="126"/>
      <c r="F42" s="127"/>
      <c r="G42" s="181"/>
      <c r="H42" s="96"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c r="I42"/>
      <c r="J42"/>
      <c r="K42"/>
      <c r="L42"/>
      <c r="M42"/>
      <c r="N42"/>
      <c r="O42"/>
    </row>
    <row r="43" spans="2:15">
      <c r="B43" s="121"/>
      <c r="C43" s="50"/>
      <c r="D43" s="50"/>
      <c r="E43" s="124"/>
      <c r="F43" s="128"/>
      <c r="G43" s="182"/>
      <c r="H43" s="93"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row>
    <row r="44" spans="2:15">
      <c r="B44" s="121"/>
      <c r="C44" s="50"/>
      <c r="D44" s="50"/>
      <c r="E44" s="124"/>
      <c r="F44" s="128"/>
      <c r="G44" s="182"/>
      <c r="H44" s="93"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row>
    <row r="45" spans="2:15">
      <c r="B45" s="122"/>
      <c r="C45" s="51"/>
      <c r="D45" s="51"/>
      <c r="E45" s="123"/>
      <c r="F45" s="129"/>
      <c r="G45" s="183"/>
      <c r="H45" s="94"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row>
    <row r="46" spans="2:15">
      <c r="B46" s="122"/>
      <c r="C46" s="51"/>
      <c r="D46" s="51"/>
      <c r="E46" s="123"/>
      <c r="F46" s="130"/>
      <c r="G46" s="183"/>
      <c r="H46" s="94"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row>
    <row r="47" spans="2:15">
      <c r="B47" s="122"/>
      <c r="C47" s="51"/>
      <c r="D47" s="51"/>
      <c r="E47" s="123"/>
      <c r="F47" s="131"/>
      <c r="G47" s="183"/>
      <c r="H47" s="94"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row>
    <row r="48" spans="2:15">
      <c r="B48" s="122"/>
      <c r="C48" s="51"/>
      <c r="D48" s="51"/>
      <c r="E48" s="123"/>
      <c r="F48" s="132"/>
      <c r="G48" s="183"/>
      <c r="H48" s="95" t="str">
        <f>IF(tbl_AltFuel[[#This Row],[Fuel Economy of AFV (miles/GGE)]]="","",tbl_AltFuel[[#This Row],[Number of Alternative Fuel Vehicles]]*tbl_AltFuel[[#This Row],[Average VMT of Vehicles (miles/year/ vehicle)]]*tbl_AltFuel[[#This Row],[Percent of total fuel use that is alternative fuel]]/tbl_AltFuel[[#This Row],[Fuel Economy of AFV (miles/GGE)]])</f>
        <v/>
      </c>
    </row>
  </sheetData>
  <sheetProtection formatColumns="0" formatRows="0"/>
  <mergeCells count="22">
    <mergeCell ref="B38:H39"/>
    <mergeCell ref="B40:H40"/>
    <mergeCell ref="B36:C36"/>
    <mergeCell ref="B34:I35"/>
    <mergeCell ref="B6:C6"/>
    <mergeCell ref="D6:E6"/>
    <mergeCell ref="B7:C7"/>
    <mergeCell ref="D7:E7"/>
    <mergeCell ref="B8:C8"/>
    <mergeCell ref="D8:E8"/>
    <mergeCell ref="D9:E9"/>
    <mergeCell ref="B10:C10"/>
    <mergeCell ref="D10:E10"/>
    <mergeCell ref="B11:C11"/>
    <mergeCell ref="D11:E11"/>
    <mergeCell ref="B9:C9"/>
    <mergeCell ref="B3:C3"/>
    <mergeCell ref="D3:E3"/>
    <mergeCell ref="B4:C4"/>
    <mergeCell ref="D4:E4"/>
    <mergeCell ref="B5:C5"/>
    <mergeCell ref="D5:E5"/>
  </mergeCells>
  <dataValidations xWindow="341" yWindow="434" count="6">
    <dataValidation type="list" allowBlank="1" showInputMessage="1" showErrorMessage="1" sqref="B42:B48" xr:uid="{00000000-0002-0000-0100-000000000000}">
      <formula1>Vehicle_Size</formula1>
    </dataValidation>
    <dataValidation type="whole" allowBlank="1" showInputMessage="1" showErrorMessage="1" sqref="C42:C48" xr:uid="{00000000-0002-0000-0100-000001000000}">
      <formula1>1</formula1>
      <formula2>max_remaining</formula2>
    </dataValidation>
    <dataValidation allowBlank="1" showInputMessage="1" showErrorMessage="1" prompt="Use % all electric miles for plug-in vehicles. The default value for % all electric miles (40.6%) is the value calculated for the GREET model for a PHEV20 using US daily travel ranges. There is no default usage for E85" sqref="F41" xr:uid="{00000000-0002-0000-0100-000002000000}"/>
    <dataValidation allowBlank="1" showInputMessage="1" showErrorMessage="1" prompt="The default value is derived from Argonne National Laboratory's GREET model. For plug-in hybrid electric vehicles the gasoline fuel economy is shown. The fuel economy of the all electric miles is assumed to be 79.6 miles/GGE" sqref="G41" xr:uid="{00000000-0002-0000-0100-000003000000}"/>
    <dataValidation type="list" allowBlank="1" showInputMessage="1" showErrorMessage="1" prompt="Select from the list of fuel types" sqref="E42:E48" xr:uid="{00000000-0002-0000-0100-000004000000}">
      <formula1>ACV_Fuels</formula1>
    </dataValidation>
    <dataValidation type="list" errorStyle="information" allowBlank="1" showInputMessage="1" prompt="Select the default value from the dropdown list or enter a value" sqref="F42:F48" xr:uid="{00000000-0002-0000-0100-000005000000}">
      <formula1>INDIRECT(VLOOKUP(OFFSET(F42,0,-1),ACV_Fuel_Lookup,3,FALSE))</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J48"/>
  <sheetViews>
    <sheetView showGridLines="0" topLeftCell="A28" zoomScale="80" zoomScaleNormal="80" zoomScalePageLayoutView="80" workbookViewId="0">
      <selection activeCell="H45" sqref="H45"/>
    </sheetView>
  </sheetViews>
  <sheetFormatPr baseColWidth="10" defaultColWidth="8.83203125" defaultRowHeight="16"/>
  <cols>
    <col min="1" max="1" width="8.83203125" style="1"/>
    <col min="2" max="2" width="19.1640625" style="1" customWidth="1"/>
    <col min="3" max="11" width="19.33203125" style="1" customWidth="1"/>
    <col min="12" max="16384" width="8.83203125" style="1"/>
  </cols>
  <sheetData>
    <row r="1" spans="1:10" ht="18" customHeight="1">
      <c r="A1"/>
      <c r="B1"/>
      <c r="C1"/>
      <c r="D1"/>
      <c r="E1"/>
      <c r="F1"/>
      <c r="G1"/>
      <c r="H1"/>
      <c r="I1"/>
      <c r="J1"/>
    </row>
    <row r="2" spans="1:10" ht="18" customHeight="1">
      <c r="A2"/>
      <c r="B2"/>
      <c r="C2"/>
      <c r="D2"/>
      <c r="E2"/>
      <c r="F2"/>
      <c r="G2"/>
      <c r="H2"/>
      <c r="I2"/>
      <c r="J2"/>
    </row>
    <row r="3" spans="1:10" ht="18" customHeight="1" thickBot="1">
      <c r="A3"/>
      <c r="B3" s="237" t="s">
        <v>358</v>
      </c>
      <c r="C3" s="237"/>
      <c r="D3" s="237" t="s">
        <v>359</v>
      </c>
      <c r="E3" s="237"/>
      <c r="F3" s="165"/>
      <c r="G3" s="165"/>
      <c r="H3" s="165"/>
      <c r="I3" s="165"/>
      <c r="J3"/>
    </row>
    <row r="4" spans="1:10" ht="18" customHeight="1" thickTop="1">
      <c r="A4"/>
      <c r="B4" s="238" t="s">
        <v>360</v>
      </c>
      <c r="C4" s="238"/>
      <c r="D4" s="241">
        <f>Alt_Fuel_GGE</f>
        <v>0</v>
      </c>
      <c r="E4" s="241"/>
      <c r="F4" s="165"/>
      <c r="G4" s="165"/>
      <c r="H4" s="165"/>
      <c r="I4" s="165"/>
      <c r="J4"/>
    </row>
    <row r="5" spans="1:10" ht="18" customHeight="1">
      <c r="A5"/>
      <c r="B5" s="239" t="s">
        <v>367</v>
      </c>
      <c r="C5" s="239"/>
      <c r="D5" s="235">
        <f>PHEV_GGE</f>
        <v>0</v>
      </c>
      <c r="E5" s="235"/>
      <c r="F5" s="165"/>
      <c r="G5" s="165"/>
      <c r="H5" s="165"/>
      <c r="I5" s="165"/>
      <c r="J5"/>
    </row>
    <row r="6" spans="1:10" ht="18" customHeight="1">
      <c r="A6"/>
      <c r="B6" s="239" t="s">
        <v>361</v>
      </c>
      <c r="C6" s="239"/>
      <c r="D6" s="235">
        <f>Biodiesel_GGE</f>
        <v>0</v>
      </c>
      <c r="E6" s="235"/>
      <c r="F6" s="165"/>
      <c r="G6" s="165"/>
      <c r="H6" s="165"/>
      <c r="I6" s="165"/>
      <c r="J6"/>
    </row>
    <row r="7" spans="1:10" ht="18" customHeight="1">
      <c r="A7"/>
      <c r="B7" s="239" t="s">
        <v>362</v>
      </c>
      <c r="C7" s="239"/>
      <c r="D7" s="235">
        <f>Replace_vehicles_GGE</f>
        <v>0</v>
      </c>
      <c r="E7" s="235"/>
      <c r="F7" s="165"/>
      <c r="G7" s="165"/>
      <c r="H7" s="165"/>
      <c r="I7" s="165"/>
      <c r="J7"/>
    </row>
    <row r="8" spans="1:10" ht="18" customHeight="1">
      <c r="A8"/>
      <c r="B8" s="239" t="s">
        <v>363</v>
      </c>
      <c r="C8" s="239"/>
      <c r="D8" s="235">
        <f>VMT_GGE</f>
        <v>0</v>
      </c>
      <c r="E8" s="235"/>
      <c r="F8" s="165"/>
      <c r="G8" s="165"/>
      <c r="H8" s="165"/>
      <c r="I8" s="165"/>
      <c r="J8"/>
    </row>
    <row r="9" spans="1:10" ht="18" customHeight="1">
      <c r="A9"/>
      <c r="B9" s="239" t="s">
        <v>364</v>
      </c>
      <c r="C9" s="239"/>
      <c r="D9" s="235">
        <f>TruckStopIR_GGE</f>
        <v>0</v>
      </c>
      <c r="E9" s="235"/>
      <c r="F9" s="165"/>
      <c r="G9" s="165"/>
      <c r="H9" s="165"/>
      <c r="I9" s="165"/>
      <c r="J9"/>
    </row>
    <row r="10" spans="1:10" ht="18" customHeight="1">
      <c r="A10"/>
      <c r="B10" s="239" t="s">
        <v>365</v>
      </c>
      <c r="C10" s="239"/>
      <c r="D10" s="235">
        <f>VehicleIR_GGE</f>
        <v>0</v>
      </c>
      <c r="E10" s="235"/>
      <c r="F10" s="165"/>
      <c r="G10" s="165"/>
      <c r="H10" s="165"/>
      <c r="I10" s="165"/>
      <c r="J10"/>
    </row>
    <row r="11" spans="1:10" ht="18" customHeight="1" thickBot="1">
      <c r="A11"/>
      <c r="B11" s="240" t="s">
        <v>366</v>
      </c>
      <c r="C11" s="240"/>
      <c r="D11" s="236">
        <f>OnboardIR_GGE</f>
        <v>0</v>
      </c>
      <c r="E11" s="236"/>
      <c r="F11" s="165"/>
      <c r="G11" s="165"/>
      <c r="H11" s="165"/>
      <c r="I11" s="165"/>
      <c r="J11"/>
    </row>
    <row r="12" spans="1:10" ht="18" customHeight="1">
      <c r="A12"/>
      <c r="B12" s="165"/>
      <c r="C12" s="165"/>
      <c r="D12" s="165"/>
      <c r="E12" s="165"/>
      <c r="F12" s="165"/>
      <c r="G12" s="165"/>
      <c r="H12" s="165"/>
      <c r="I12" s="165"/>
      <c r="J12"/>
    </row>
    <row r="13" spans="1:10" ht="18" customHeight="1">
      <c r="A13"/>
      <c r="B13" s="165"/>
      <c r="C13" s="165"/>
      <c r="D13" s="165"/>
      <c r="E13" s="165"/>
      <c r="F13" s="165"/>
      <c r="G13" s="165"/>
      <c r="H13" s="165"/>
      <c r="I13" s="165"/>
      <c r="J13"/>
    </row>
    <row r="14" spans="1:10" ht="18" customHeight="1">
      <c r="A14"/>
      <c r="B14" s="165"/>
      <c r="C14" s="165"/>
      <c r="D14" s="165"/>
      <c r="E14" s="165"/>
      <c r="F14" s="165"/>
      <c r="G14" s="165"/>
      <c r="H14" s="165"/>
      <c r="I14" s="165"/>
      <c r="J14"/>
    </row>
    <row r="15" spans="1:10" ht="18" customHeight="1">
      <c r="A15"/>
      <c r="B15" s="165"/>
      <c r="C15" s="165"/>
      <c r="D15" s="165"/>
      <c r="E15" s="165"/>
      <c r="F15" s="165"/>
      <c r="G15" s="165"/>
      <c r="H15" s="165"/>
      <c r="I15" s="165"/>
      <c r="J15"/>
    </row>
    <row r="16" spans="1:10" ht="18" customHeight="1">
      <c r="A16"/>
      <c r="B16" s="165"/>
      <c r="C16" s="165"/>
      <c r="D16" s="165"/>
      <c r="E16" s="165"/>
      <c r="F16" s="165"/>
      <c r="G16" s="165"/>
      <c r="H16" s="165"/>
      <c r="I16" s="165"/>
      <c r="J16"/>
    </row>
    <row r="17" spans="1:10" ht="18" customHeight="1">
      <c r="A17"/>
      <c r="B17" s="165"/>
      <c r="C17" s="165"/>
      <c r="D17" s="165"/>
      <c r="E17" s="165"/>
      <c r="F17" s="165"/>
      <c r="G17" s="165"/>
      <c r="H17" s="165"/>
      <c r="I17" s="165"/>
      <c r="J17"/>
    </row>
    <row r="18" spans="1:10" ht="18" customHeight="1">
      <c r="A18"/>
      <c r="B18" s="165"/>
      <c r="C18" s="165"/>
      <c r="D18" s="165"/>
      <c r="E18" s="165"/>
      <c r="F18" s="165"/>
      <c r="G18" s="165"/>
      <c r="H18" s="165"/>
      <c r="I18" s="165"/>
      <c r="J18"/>
    </row>
    <row r="19" spans="1:10" ht="18" customHeight="1">
      <c r="A19"/>
      <c r="B19" s="165"/>
      <c r="C19" s="165"/>
      <c r="D19" s="165"/>
      <c r="E19" s="165"/>
      <c r="F19" s="165"/>
      <c r="G19" s="165"/>
      <c r="H19" s="165"/>
      <c r="I19" s="165"/>
      <c r="J19"/>
    </row>
    <row r="20" spans="1:10" ht="18" customHeight="1">
      <c r="A20"/>
      <c r="B20" s="165"/>
      <c r="C20" s="165"/>
      <c r="D20" s="165"/>
      <c r="E20" s="165"/>
      <c r="F20" s="165"/>
      <c r="G20" s="165"/>
      <c r="H20" s="165"/>
      <c r="I20" s="165"/>
      <c r="J20"/>
    </row>
    <row r="21" spans="1:10" ht="18" customHeight="1">
      <c r="A21"/>
      <c r="B21" s="165"/>
      <c r="C21" s="165"/>
      <c r="D21" s="165"/>
      <c r="E21" s="165"/>
      <c r="F21" s="165"/>
      <c r="G21" s="165"/>
      <c r="H21" s="165"/>
      <c r="I21" s="165"/>
      <c r="J21"/>
    </row>
    <row r="22" spans="1:10" ht="18" customHeight="1">
      <c r="A22"/>
      <c r="B22" s="165"/>
      <c r="C22" s="165"/>
      <c r="D22" s="165"/>
      <c r="E22" s="165"/>
      <c r="F22" s="165"/>
      <c r="G22" s="165"/>
      <c r="H22" s="165"/>
      <c r="I22" s="165"/>
      <c r="J22"/>
    </row>
    <row r="23" spans="1:10" ht="18" customHeight="1">
      <c r="A23"/>
      <c r="J23"/>
    </row>
    <row r="24" spans="1:10" ht="18" customHeight="1">
      <c r="A24"/>
      <c r="J24"/>
    </row>
    <row r="25" spans="1:10" ht="18" customHeight="1">
      <c r="A25"/>
      <c r="J25"/>
    </row>
    <row r="26" spans="1:10" ht="18" customHeight="1">
      <c r="A26"/>
      <c r="J26"/>
    </row>
    <row r="27" spans="1:10" ht="18" customHeight="1">
      <c r="A27"/>
      <c r="J27"/>
    </row>
    <row r="28" spans="1:10" ht="18" customHeight="1">
      <c r="A28"/>
      <c r="J28"/>
    </row>
    <row r="29" spans="1:10" ht="18" customHeight="1">
      <c r="A29"/>
      <c r="J29"/>
    </row>
    <row r="30" spans="1:10" ht="18" customHeight="1">
      <c r="A30"/>
      <c r="J30"/>
    </row>
    <row r="31" spans="1:10">
      <c r="B31"/>
      <c r="C31"/>
      <c r="D31"/>
      <c r="E31"/>
      <c r="F31"/>
      <c r="G31"/>
      <c r="H31"/>
      <c r="I31"/>
      <c r="J31"/>
    </row>
    <row r="32" spans="1:10" ht="65" customHeight="1">
      <c r="B32"/>
      <c r="C32"/>
      <c r="D32"/>
      <c r="E32"/>
      <c r="F32"/>
      <c r="G32"/>
      <c r="H32"/>
      <c r="I32"/>
    </row>
    <row r="33" spans="2:10" ht="30.75" customHeight="1">
      <c r="B33" s="109" t="s">
        <v>497</v>
      </c>
      <c r="C33" s="110"/>
      <c r="D33" s="110"/>
      <c r="E33" s="110"/>
      <c r="F33" s="108"/>
      <c r="G33" s="108"/>
      <c r="H33" s="108"/>
      <c r="I33" s="108"/>
      <c r="J33" s="108"/>
    </row>
    <row r="34" spans="2:10" ht="19" customHeight="1">
      <c r="B34" s="289" t="s">
        <v>496</v>
      </c>
      <c r="C34" s="289"/>
      <c r="D34" s="289"/>
      <c r="E34" s="289"/>
      <c r="F34" s="289"/>
      <c r="G34" s="289"/>
      <c r="H34" s="289"/>
      <c r="I34" s="289"/>
      <c r="J34" s="180"/>
    </row>
    <row r="35" spans="2:10" ht="19" customHeight="1">
      <c r="B35" s="289"/>
      <c r="C35" s="289"/>
      <c r="D35" s="289"/>
      <c r="E35" s="289"/>
      <c r="F35" s="289"/>
      <c r="G35" s="289"/>
      <c r="H35" s="289"/>
      <c r="I35" s="289"/>
      <c r="J35" s="180"/>
    </row>
    <row r="36" spans="2:10" ht="19" customHeight="1">
      <c r="B36" s="289"/>
      <c r="C36" s="289"/>
      <c r="D36" s="289"/>
      <c r="E36" s="289"/>
      <c r="F36" s="289"/>
      <c r="G36" s="289"/>
      <c r="H36" s="289"/>
      <c r="I36" s="289"/>
      <c r="J36" s="180"/>
    </row>
    <row r="37" spans="2:10">
      <c r="B37" s="112"/>
      <c r="C37" s="112"/>
      <c r="D37" s="112"/>
      <c r="E37" s="112"/>
      <c r="F37" s="111"/>
      <c r="G37" s="111"/>
      <c r="H37" s="111"/>
      <c r="I37" s="111"/>
      <c r="J37" s="111"/>
    </row>
    <row r="38" spans="2:10" ht="19">
      <c r="B38" s="288" t="s">
        <v>252</v>
      </c>
      <c r="C38" s="288"/>
      <c r="D38" s="119">
        <f>SUM(tbl_PHEV[Petroleum Reduction (GGE)])</f>
        <v>0</v>
      </c>
      <c r="E38" s="113" t="s">
        <v>52</v>
      </c>
      <c r="F38" s="112"/>
      <c r="G38" s="111"/>
      <c r="H38" s="111"/>
      <c r="I38" s="111"/>
      <c r="J38" s="111"/>
    </row>
    <row r="39" spans="2:10">
      <c r="B39" s="87"/>
      <c r="C39" s="87"/>
      <c r="D39" s="87"/>
      <c r="E39" s="87"/>
      <c r="F39" s="87"/>
    </row>
    <row r="40" spans="2:10">
      <c r="B40" s="283" t="s">
        <v>420</v>
      </c>
      <c r="C40" s="283"/>
      <c r="D40" s="283"/>
      <c r="E40" s="283"/>
      <c r="F40" s="283"/>
      <c r="G40" s="283"/>
      <c r="H40" s="283"/>
      <c r="I40" s="283"/>
    </row>
    <row r="41" spans="2:10">
      <c r="B41" s="283"/>
      <c r="C41" s="283"/>
      <c r="D41" s="283"/>
      <c r="E41" s="283"/>
      <c r="F41" s="283"/>
      <c r="G41" s="283"/>
      <c r="H41" s="283"/>
      <c r="I41" s="283"/>
    </row>
    <row r="42" spans="2:10" ht="19">
      <c r="B42" s="167" t="s">
        <v>386</v>
      </c>
      <c r="C42" s="167"/>
      <c r="D42" s="167"/>
      <c r="E42" s="167"/>
      <c r="F42" s="167"/>
      <c r="G42" s="167"/>
      <c r="H42" s="167"/>
      <c r="I42" s="167"/>
      <c r="J42" s="167"/>
    </row>
    <row r="43" spans="2:10" ht="61" customHeight="1" thickBot="1">
      <c r="B43" s="114" t="s">
        <v>390</v>
      </c>
      <c r="C43" s="115" t="s">
        <v>379</v>
      </c>
      <c r="D43" s="115" t="s">
        <v>391</v>
      </c>
      <c r="E43" s="117" t="s">
        <v>392</v>
      </c>
      <c r="F43" s="117" t="s">
        <v>383</v>
      </c>
      <c r="G43" s="117" t="s">
        <v>384</v>
      </c>
      <c r="H43" s="118" t="s">
        <v>385</v>
      </c>
      <c r="I43" s="118" t="s">
        <v>371</v>
      </c>
    </row>
    <row r="44" spans="2:10" ht="17">
      <c r="B44" s="155"/>
      <c r="C44" s="153"/>
      <c r="D44" s="154"/>
      <c r="E44" s="106"/>
      <c r="F44" s="106"/>
      <c r="G44" s="168"/>
      <c r="H44" s="177"/>
      <c r="I44" s="156" t="str">
        <f>IF(tbl_PHEV[[#This Row],[PHEV Gasoline Fuel Economy (miles/GGE)]]="","",tbl_PHEV[[#This Row],[Number of Vehicles]]*(MIN(tbl_PHEV[[#This Row],[PHEV All Electric Miles]]*tbl_PHEV[[#This Row],[Days of Operation per Year]],tbl_PHEV[[#This Row],[Average VMT (miles/year/vehicle)]])/tbl_PHEV[[#This Row],[Fuel Economy of Old Vehicle (miles/GGE)]]+(tbl_PHEV[[#This Row],[Average VMT (miles/year/vehicle)]]-MIN(tbl_PHEV[[#This Row],[PHEV All Electric Miles]]*tbl_PHEV[[#This Row],[Days of Operation per Year]],tbl_PHEV[[#This Row],[Average VMT (miles/year/vehicle)]]))*(1/tbl_PHEV[[#This Row],[Fuel Economy of Old Vehicle (miles/GGE)]]-1/tbl_PHEV[[#This Row],[PHEV Gasoline Fuel Economy (miles/GGE)]])))</f>
        <v/>
      </c>
    </row>
    <row r="45" spans="2:10" ht="17">
      <c r="B45" s="155"/>
      <c r="C45" s="153"/>
      <c r="D45" s="154"/>
      <c r="E45" s="106"/>
      <c r="F45" s="106"/>
      <c r="G45" s="168"/>
      <c r="H45" s="177"/>
      <c r="I45" s="156" t="str">
        <f>IF(tbl_PHEV[[#This Row],[PHEV Gasoline Fuel Economy (miles/GGE)]]="","",tbl_PHEV[[#This Row],[Number of Vehicles]]*(MIN(tbl_PHEV[[#This Row],[PHEV All Electric Miles]]*tbl_PHEV[[#This Row],[Days of Operation per Year]],tbl_PHEV[[#This Row],[Average VMT (miles/year/vehicle)]])/tbl_PHEV[[#This Row],[Fuel Economy of Old Vehicle (miles/GGE)]]+(tbl_PHEV[[#This Row],[Average VMT (miles/year/vehicle)]]-MIN(tbl_PHEV[[#This Row],[PHEV All Electric Miles]]*tbl_PHEV[[#This Row],[Days of Operation per Year]],tbl_PHEV[[#This Row],[Average VMT (miles/year/vehicle)]]))*(1/tbl_PHEV[[#This Row],[Fuel Economy of Old Vehicle (miles/GGE)]]-1/tbl_PHEV[[#This Row],[PHEV Gasoline Fuel Economy (miles/GGE)]])))</f>
        <v/>
      </c>
    </row>
    <row r="46" spans="2:10">
      <c r="B46" s="159"/>
      <c r="C46" s="153"/>
      <c r="D46" s="158"/>
      <c r="E46" s="157"/>
      <c r="F46" s="157"/>
      <c r="G46" s="169"/>
      <c r="H46" s="178"/>
      <c r="I46" s="160" t="str">
        <f>IF(tbl_PHEV[[#This Row],[PHEV Gasoline Fuel Economy (miles/GGE)]]="","",tbl_PHEV[[#This Row],[Number of Vehicles]]*(MIN(tbl_PHEV[[#This Row],[PHEV All Electric Miles]]*tbl_PHEV[[#This Row],[Days of Operation per Year]],tbl_PHEV[[#This Row],[Average VMT (miles/year/vehicle)]])/tbl_PHEV[[#This Row],[Fuel Economy of Old Vehicle (miles/GGE)]]+(tbl_PHEV[[#This Row],[Average VMT (miles/year/vehicle)]]-MIN(tbl_PHEV[[#This Row],[PHEV All Electric Miles]]*tbl_PHEV[[#This Row],[Days of Operation per Year]],tbl_PHEV[[#This Row],[Average VMT (miles/year/vehicle)]]))*(1/tbl_PHEV[[#This Row],[Fuel Economy of Old Vehicle (miles/GGE)]]-1/tbl_PHEV[[#This Row],[PHEV Gasoline Fuel Economy (miles/GGE)]])))</f>
        <v/>
      </c>
    </row>
    <row r="47" spans="2:10">
      <c r="B47" s="159"/>
      <c r="C47" s="161"/>
      <c r="D47" s="162"/>
      <c r="E47" s="157"/>
      <c r="F47" s="157"/>
      <c r="G47" s="170"/>
      <c r="H47" s="178"/>
      <c r="I47" s="163" t="str">
        <f>IF(tbl_PHEV[[#This Row],[PHEV Gasoline Fuel Economy (miles/GGE)]]="","",tbl_PHEV[[#This Row],[Number of Vehicles]]*(MIN(tbl_PHEV[[#This Row],[PHEV All Electric Miles]]*tbl_PHEV[[#This Row],[Days of Operation per Year]],tbl_PHEV[[#This Row],[Average VMT (miles/year/vehicle)]])/tbl_PHEV[[#This Row],[Fuel Economy of Old Vehicle (miles/GGE)]]+(tbl_PHEV[[#This Row],[Average VMT (miles/year/vehicle)]]-MIN(tbl_PHEV[[#This Row],[PHEV All Electric Miles]]*tbl_PHEV[[#This Row],[Days of Operation per Year]],tbl_PHEV[[#This Row],[Average VMT (miles/year/vehicle)]]))*(1/tbl_PHEV[[#This Row],[Fuel Economy of Old Vehicle (miles/GGE)]]-1/tbl_PHEV[[#This Row],[PHEV Gasoline Fuel Economy (miles/GGE)]])))</f>
        <v/>
      </c>
    </row>
    <row r="48" spans="2:10" ht="17">
      <c r="B48" s="186"/>
      <c r="C48" s="161"/>
      <c r="D48" s="187"/>
      <c r="E48" s="188"/>
      <c r="F48" s="157"/>
      <c r="G48" s="189"/>
      <c r="H48" s="190"/>
      <c r="I48" s="191" t="str">
        <f>IF(tbl_PHEV[[#This Row],[PHEV Gasoline Fuel Economy (miles/GGE)]]="","",tbl_PHEV[[#This Row],[Number of Vehicles]]*(MIN(tbl_PHEV[[#This Row],[PHEV All Electric Miles]]*tbl_PHEV[[#This Row],[Days of Operation per Year]],tbl_PHEV[[#This Row],[Average VMT (miles/year/vehicle)]])/tbl_PHEV[[#This Row],[Fuel Economy of Old Vehicle (miles/GGE)]]+(tbl_PHEV[[#This Row],[Average VMT (miles/year/vehicle)]]-MIN(tbl_PHEV[[#This Row],[PHEV All Electric Miles]]*tbl_PHEV[[#This Row],[Days of Operation per Year]],tbl_PHEV[[#This Row],[Average VMT (miles/year/vehicle)]]))*(1/tbl_PHEV[[#This Row],[Fuel Economy of Old Vehicle (miles/GGE)]]-1/tbl_PHEV[[#This Row],[PHEV Gasoline Fuel Economy (miles/GGE)]])))</f>
        <v/>
      </c>
    </row>
  </sheetData>
  <sheetProtection formatColumns="0" formatRows="0"/>
  <mergeCells count="21">
    <mergeCell ref="D7:E7"/>
    <mergeCell ref="B8:C8"/>
    <mergeCell ref="D8:E8"/>
    <mergeCell ref="B9:C9"/>
    <mergeCell ref="D9:E9"/>
    <mergeCell ref="B40:I41"/>
    <mergeCell ref="B3:C3"/>
    <mergeCell ref="D3:E3"/>
    <mergeCell ref="B4:C4"/>
    <mergeCell ref="D4:E4"/>
    <mergeCell ref="B5:C5"/>
    <mergeCell ref="D5:E5"/>
    <mergeCell ref="B6:C6"/>
    <mergeCell ref="D6:E6"/>
    <mergeCell ref="B7:C7"/>
    <mergeCell ref="B38:C38"/>
    <mergeCell ref="B10:C10"/>
    <mergeCell ref="D10:E10"/>
    <mergeCell ref="B11:C11"/>
    <mergeCell ref="D11:E11"/>
    <mergeCell ref="B34:I36"/>
  </mergeCells>
  <conditionalFormatting sqref="B44:B48">
    <cfRule type="cellIs" dxfId="104" priority="1" operator="equal">
      <formula>"New MD/HD vehicle"</formula>
    </cfRule>
    <cfRule type="cellIs" dxfId="103" priority="2" operator="equal">
      <formula>"New LD vehicle"</formula>
    </cfRule>
  </conditionalFormatting>
  <conditionalFormatting sqref="C44:C48">
    <cfRule type="expression" dxfId="102" priority="6">
      <formula>OR(OFFSET($B44,0,-1)="New LD vehicle",OFFSET($B44,0,-1)="New MD/HD vehicle")</formula>
    </cfRule>
  </conditionalFormatting>
  <conditionalFormatting sqref="D44:D48">
    <cfRule type="expression" dxfId="101" priority="5">
      <formula>OR(OFFSET($C44,0,-2)="New LD vehicle",OFFSET($C44,0,-2)="New MD/HD vehicle")</formula>
    </cfRule>
  </conditionalFormatting>
  <conditionalFormatting sqref="E44:F48">
    <cfRule type="expression" dxfId="100" priority="3">
      <formula>OR(OFFSET(#REF!,0,-4)="New LD vehicle",OFFSET(#REF!,0,-4)="New MD/HD vehicle")</formula>
    </cfRule>
  </conditionalFormatting>
  <dataValidations count="3">
    <dataValidation allowBlank="1" showInputMessage="1" showErrorMessage="1" prompt="To add a vehicle, start typing in the cell below the last entry in this column. A new row will be added automatically. Add sheet rows above row 19 if you need more space." sqref="B43" xr:uid="{00000000-0002-0000-0200-000000000000}"/>
    <dataValidation type="list" allowBlank="1" showInputMessage="1" showErrorMessage="1" sqref="B44:B48" xr:uid="{00000000-0002-0000-0200-000001000000}">
      <formula1>Vehicle_Size</formula1>
    </dataValidation>
    <dataValidation allowBlank="1" showInputMessage="1" showErrorMessage="1" prompt="Enter the manufacturer's estimated all electric miles per charge." sqref="F44:F48" xr:uid="{00000000-0002-0000-0200-000002000000}"/>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64"/>
  <sheetViews>
    <sheetView showGridLines="0" topLeftCell="A25" zoomScale="80" zoomScaleNormal="80" zoomScalePageLayoutView="80" workbookViewId="0">
      <selection activeCell="B45" sqref="B45:G45"/>
    </sheetView>
  </sheetViews>
  <sheetFormatPr baseColWidth="10" defaultColWidth="8.83203125" defaultRowHeight="16"/>
  <cols>
    <col min="1" max="1" width="8.83203125" style="1"/>
    <col min="2" max="2" width="19.1640625" style="1" customWidth="1"/>
    <col min="3" max="11" width="19.33203125" style="1" customWidth="1"/>
    <col min="12" max="16384" width="8.83203125" style="1"/>
  </cols>
  <sheetData>
    <row r="1" spans="1:11" ht="18" customHeight="1">
      <c r="A1"/>
      <c r="B1"/>
      <c r="C1"/>
      <c r="D1"/>
      <c r="E1"/>
      <c r="F1"/>
      <c r="G1"/>
      <c r="H1"/>
      <c r="I1"/>
      <c r="J1"/>
      <c r="K1"/>
    </row>
    <row r="2" spans="1:11" ht="18" customHeight="1">
      <c r="A2"/>
      <c r="B2"/>
      <c r="C2"/>
      <c r="D2"/>
      <c r="E2"/>
      <c r="F2"/>
      <c r="G2"/>
      <c r="H2"/>
      <c r="I2"/>
      <c r="J2"/>
      <c r="K2"/>
    </row>
    <row r="3" spans="1:11" ht="18" customHeight="1" thickBot="1">
      <c r="A3"/>
      <c r="B3" s="237" t="s">
        <v>358</v>
      </c>
      <c r="C3" s="237"/>
      <c r="D3" s="237" t="s">
        <v>359</v>
      </c>
      <c r="E3" s="237"/>
      <c r="F3" s="165"/>
      <c r="G3" s="165"/>
      <c r="H3" s="165"/>
      <c r="I3" s="165"/>
      <c r="J3"/>
      <c r="K3"/>
    </row>
    <row r="4" spans="1:11" ht="18" customHeight="1" thickTop="1">
      <c r="A4"/>
      <c r="B4" s="238" t="s">
        <v>360</v>
      </c>
      <c r="C4" s="238"/>
      <c r="D4" s="241">
        <f>Alt_Fuel_GGE</f>
        <v>0</v>
      </c>
      <c r="E4" s="241"/>
      <c r="F4" s="165"/>
      <c r="G4" s="165"/>
      <c r="H4" s="165"/>
      <c r="I4" s="165"/>
      <c r="J4"/>
      <c r="K4"/>
    </row>
    <row r="5" spans="1:11" ht="18" customHeight="1">
      <c r="A5"/>
      <c r="B5" s="239" t="s">
        <v>367</v>
      </c>
      <c r="C5" s="239"/>
      <c r="D5" s="235">
        <f>PHEV_GGE</f>
        <v>0</v>
      </c>
      <c r="E5" s="235"/>
      <c r="F5" s="165"/>
      <c r="G5" s="165"/>
      <c r="H5" s="165"/>
      <c r="I5" s="165"/>
      <c r="J5"/>
      <c r="K5"/>
    </row>
    <row r="6" spans="1:11" ht="18" customHeight="1">
      <c r="A6"/>
      <c r="B6" s="239" t="s">
        <v>361</v>
      </c>
      <c r="C6" s="239"/>
      <c r="D6" s="235">
        <f>Biodiesel_GGE</f>
        <v>0</v>
      </c>
      <c r="E6" s="235"/>
      <c r="F6" s="165"/>
      <c r="G6" s="165"/>
      <c r="H6" s="165"/>
      <c r="I6" s="165"/>
      <c r="J6"/>
      <c r="K6"/>
    </row>
    <row r="7" spans="1:11" ht="18" customHeight="1">
      <c r="A7"/>
      <c r="B7" s="239" t="s">
        <v>362</v>
      </c>
      <c r="C7" s="239"/>
      <c r="D7" s="235">
        <f>Replace_vehicles_GGE</f>
        <v>0</v>
      </c>
      <c r="E7" s="235"/>
      <c r="F7" s="165"/>
      <c r="G7" s="165"/>
      <c r="H7" s="165"/>
      <c r="I7" s="165"/>
      <c r="J7"/>
      <c r="K7"/>
    </row>
    <row r="8" spans="1:11" ht="18" customHeight="1">
      <c r="A8"/>
      <c r="B8" s="239" t="s">
        <v>363</v>
      </c>
      <c r="C8" s="239"/>
      <c r="D8" s="235">
        <f>VMT_GGE</f>
        <v>0</v>
      </c>
      <c r="E8" s="235"/>
      <c r="F8" s="165"/>
      <c r="G8" s="165"/>
      <c r="H8" s="165"/>
      <c r="I8" s="165"/>
      <c r="J8"/>
      <c r="K8"/>
    </row>
    <row r="9" spans="1:11" ht="18" customHeight="1">
      <c r="A9"/>
      <c r="B9" s="239" t="s">
        <v>364</v>
      </c>
      <c r="C9" s="239"/>
      <c r="D9" s="235">
        <f>TruckStopIR_GGE</f>
        <v>0</v>
      </c>
      <c r="E9" s="235"/>
      <c r="F9" s="165"/>
      <c r="G9" s="165"/>
      <c r="H9" s="165"/>
      <c r="I9" s="165"/>
      <c r="J9"/>
      <c r="K9"/>
    </row>
    <row r="10" spans="1:11" ht="18" customHeight="1">
      <c r="A10"/>
      <c r="B10" s="239" t="s">
        <v>365</v>
      </c>
      <c r="C10" s="239"/>
      <c r="D10" s="235">
        <f>VehicleIR_GGE</f>
        <v>0</v>
      </c>
      <c r="E10" s="235"/>
      <c r="F10" s="165"/>
      <c r="G10" s="165"/>
      <c r="H10" s="165"/>
      <c r="I10" s="165"/>
      <c r="J10"/>
      <c r="K10"/>
    </row>
    <row r="11" spans="1:11" ht="18" customHeight="1" thickBot="1">
      <c r="A11"/>
      <c r="B11" s="240" t="s">
        <v>366</v>
      </c>
      <c r="C11" s="240"/>
      <c r="D11" s="236">
        <f>OnboardIR_GGE</f>
        <v>0</v>
      </c>
      <c r="E11" s="236"/>
      <c r="F11" s="165"/>
      <c r="G11" s="165"/>
      <c r="H11" s="165"/>
      <c r="I11" s="165"/>
      <c r="J11"/>
      <c r="K11"/>
    </row>
    <row r="12" spans="1:11" ht="18" customHeight="1">
      <c r="A12"/>
      <c r="B12" s="165"/>
      <c r="C12" s="165"/>
      <c r="D12" s="165"/>
      <c r="E12" s="165"/>
      <c r="F12" s="165"/>
      <c r="G12" s="165"/>
      <c r="H12" s="165"/>
      <c r="I12" s="165"/>
      <c r="J12"/>
      <c r="K12"/>
    </row>
    <row r="13" spans="1:11" ht="18" customHeight="1">
      <c r="A13"/>
      <c r="B13" s="165"/>
      <c r="C13" s="165"/>
      <c r="D13" s="165"/>
      <c r="E13" s="165"/>
      <c r="F13" s="165"/>
      <c r="G13" s="165"/>
      <c r="H13" s="165"/>
      <c r="I13" s="165"/>
      <c r="J13"/>
      <c r="K13"/>
    </row>
    <row r="14" spans="1:11" ht="18" customHeight="1">
      <c r="A14"/>
      <c r="B14" s="165"/>
      <c r="C14" s="165"/>
      <c r="D14" s="165"/>
      <c r="E14" s="165"/>
      <c r="F14" s="165"/>
      <c r="G14" s="165"/>
      <c r="H14" s="165"/>
      <c r="I14" s="165"/>
      <c r="J14"/>
      <c r="K14"/>
    </row>
    <row r="15" spans="1:11" ht="18" customHeight="1">
      <c r="A15"/>
      <c r="B15" s="165"/>
      <c r="C15" s="165"/>
      <c r="D15" s="165"/>
      <c r="E15" s="165"/>
      <c r="F15" s="165"/>
      <c r="G15" s="165"/>
      <c r="H15" s="165"/>
      <c r="I15" s="165"/>
      <c r="J15"/>
      <c r="K15"/>
    </row>
    <row r="16" spans="1:11" ht="18" customHeight="1">
      <c r="A16"/>
      <c r="B16" s="165"/>
      <c r="C16" s="165"/>
      <c r="D16" s="165"/>
      <c r="E16" s="165"/>
      <c r="F16" s="165"/>
      <c r="G16" s="165"/>
      <c r="H16" s="165"/>
      <c r="I16" s="165"/>
      <c r="J16"/>
      <c r="K16"/>
    </row>
    <row r="17" spans="1:11" ht="18" customHeight="1">
      <c r="A17"/>
      <c r="B17" s="165"/>
      <c r="C17" s="165"/>
      <c r="D17" s="165"/>
      <c r="E17" s="165"/>
      <c r="F17" s="165"/>
      <c r="G17" s="165"/>
      <c r="H17" s="165"/>
      <c r="I17" s="165"/>
      <c r="J17"/>
      <c r="K17"/>
    </row>
    <row r="18" spans="1:11" ht="18" customHeight="1">
      <c r="A18"/>
      <c r="B18" s="165"/>
      <c r="C18" s="165"/>
      <c r="D18" s="165"/>
      <c r="E18" s="165"/>
      <c r="F18" s="165"/>
      <c r="G18" s="165"/>
      <c r="H18" s="165"/>
      <c r="I18" s="165"/>
      <c r="J18"/>
      <c r="K18"/>
    </row>
    <row r="19" spans="1:11" ht="18" customHeight="1">
      <c r="A19"/>
      <c r="B19" s="165"/>
      <c r="C19" s="165"/>
      <c r="D19" s="165"/>
      <c r="E19" s="165"/>
      <c r="F19" s="165"/>
      <c r="G19" s="165"/>
      <c r="H19" s="165"/>
      <c r="I19" s="165"/>
      <c r="J19"/>
      <c r="K19"/>
    </row>
    <row r="20" spans="1:11" ht="18" customHeight="1">
      <c r="A20"/>
      <c r="B20" s="165"/>
      <c r="C20" s="165"/>
      <c r="D20" s="165"/>
      <c r="E20" s="165"/>
      <c r="F20" s="165"/>
      <c r="G20" s="165"/>
      <c r="H20" s="165"/>
      <c r="I20" s="165"/>
      <c r="J20"/>
      <c r="K20"/>
    </row>
    <row r="21" spans="1:11" ht="18" customHeight="1">
      <c r="A21"/>
      <c r="B21" s="165"/>
      <c r="C21" s="165"/>
      <c r="D21" s="165"/>
      <c r="E21" s="165"/>
      <c r="F21" s="165"/>
      <c r="G21" s="165"/>
      <c r="H21" s="165"/>
      <c r="I21" s="165"/>
      <c r="J21"/>
      <c r="K21"/>
    </row>
    <row r="22" spans="1:11" ht="18" customHeight="1">
      <c r="A22"/>
      <c r="B22" s="165"/>
      <c r="C22" s="165"/>
      <c r="D22" s="165"/>
      <c r="E22" s="165"/>
      <c r="F22" s="165"/>
      <c r="G22" s="165"/>
      <c r="H22" s="165"/>
      <c r="I22" s="165"/>
      <c r="J22"/>
      <c r="K22"/>
    </row>
    <row r="23" spans="1:11" ht="18" customHeight="1">
      <c r="A23"/>
      <c r="J23"/>
      <c r="K23"/>
    </row>
    <row r="24" spans="1:11" ht="18" customHeight="1">
      <c r="A24"/>
      <c r="J24"/>
      <c r="K24"/>
    </row>
    <row r="25" spans="1:11" ht="18" customHeight="1">
      <c r="A25"/>
      <c r="J25"/>
      <c r="K25"/>
    </row>
    <row r="26" spans="1:11" ht="18" customHeight="1">
      <c r="A26"/>
      <c r="J26"/>
      <c r="K26"/>
    </row>
    <row r="27" spans="1:11" ht="18" customHeight="1">
      <c r="A27"/>
      <c r="J27"/>
      <c r="K27"/>
    </row>
    <row r="28" spans="1:11" ht="18" customHeight="1">
      <c r="A28"/>
      <c r="J28"/>
      <c r="K28"/>
    </row>
    <row r="29" spans="1:11" ht="18" customHeight="1">
      <c r="A29"/>
      <c r="J29"/>
      <c r="K29"/>
    </row>
    <row r="30" spans="1:11">
      <c r="A30"/>
      <c r="J30"/>
      <c r="K30"/>
    </row>
    <row r="31" spans="1:11">
      <c r="B31"/>
      <c r="C31"/>
      <c r="D31"/>
      <c r="E31"/>
      <c r="F31"/>
      <c r="G31"/>
      <c r="H31"/>
      <c r="I31"/>
      <c r="J31"/>
    </row>
    <row r="32" spans="1:11" ht="65" customHeight="1">
      <c r="B32"/>
      <c r="C32"/>
      <c r="D32"/>
      <c r="E32"/>
      <c r="F32"/>
      <c r="G32"/>
      <c r="H32"/>
      <c r="I32"/>
    </row>
    <row r="33" spans="2:10" ht="30.75" customHeight="1">
      <c r="B33" s="38" t="s">
        <v>295</v>
      </c>
      <c r="C33" s="35"/>
      <c r="D33" s="35"/>
      <c r="E33" s="34"/>
      <c r="F33" s="34"/>
      <c r="G33" s="34"/>
      <c r="H33"/>
      <c r="I33"/>
    </row>
    <row r="34" spans="2:10" ht="19" customHeight="1">
      <c r="B34" s="248" t="s">
        <v>389</v>
      </c>
      <c r="C34" s="248"/>
      <c r="D34" s="248"/>
      <c r="E34" s="248"/>
      <c r="F34" s="248"/>
      <c r="G34" s="248"/>
      <c r="H34"/>
      <c r="I34"/>
    </row>
    <row r="35" spans="2:10" ht="19" customHeight="1">
      <c r="B35" s="248"/>
      <c r="C35" s="248"/>
      <c r="D35" s="248"/>
      <c r="E35" s="248"/>
      <c r="F35" s="248"/>
      <c r="G35" s="248"/>
      <c r="H35"/>
      <c r="I35"/>
    </row>
    <row r="36" spans="2:10" ht="19" customHeight="1">
      <c r="B36" s="248"/>
      <c r="C36" s="248"/>
      <c r="D36" s="248"/>
      <c r="E36" s="248"/>
      <c r="F36" s="248"/>
      <c r="G36" s="248"/>
      <c r="H36"/>
      <c r="I36"/>
    </row>
    <row r="37" spans="2:10">
      <c r="B37"/>
      <c r="C37"/>
      <c r="D37"/>
      <c r="E37"/>
      <c r="F37"/>
      <c r="G37"/>
      <c r="H37"/>
      <c r="I37"/>
    </row>
    <row r="38" spans="2:10" ht="18.75" customHeight="1">
      <c r="B38" s="35" t="s">
        <v>299</v>
      </c>
      <c r="D38" s="97">
        <f>SUM(tbl_biodiesel_veh[Petroleum Reduction (GGE)])</f>
        <v>0</v>
      </c>
      <c r="E38" s="35" t="s">
        <v>52</v>
      </c>
      <c r="F38"/>
      <c r="G38"/>
      <c r="H38"/>
      <c r="I38"/>
    </row>
    <row r="39" spans="2:10" ht="19">
      <c r="B39" s="35"/>
      <c r="C39"/>
      <c r="D39" s="35"/>
      <c r="E39" s="34"/>
      <c r="F39"/>
      <c r="G39"/>
      <c r="H39"/>
      <c r="I39"/>
    </row>
    <row r="40" spans="2:10">
      <c r="B40" s="283" t="s">
        <v>420</v>
      </c>
      <c r="C40" s="283"/>
      <c r="D40" s="283"/>
      <c r="E40" s="283"/>
      <c r="F40" s="283"/>
      <c r="G40" s="283"/>
      <c r="H40" s="283"/>
      <c r="I40" s="283"/>
    </row>
    <row r="41" spans="2:10">
      <c r="B41" s="283"/>
      <c r="C41" s="283"/>
      <c r="D41" s="283"/>
      <c r="E41" s="283"/>
      <c r="F41" s="283"/>
      <c r="G41" s="283"/>
      <c r="H41" s="283"/>
      <c r="I41" s="283"/>
    </row>
    <row r="42" spans="2:10" customFormat="1" ht="19.5" customHeight="1" thickBot="1"/>
    <row r="43" spans="2:10" ht="22" thickBot="1">
      <c r="B43" s="175" t="s">
        <v>372</v>
      </c>
      <c r="C43" s="62"/>
      <c r="D43" s="62"/>
      <c r="E43" s="61"/>
      <c r="F43" s="63"/>
      <c r="G43" s="63"/>
      <c r="H43" s="176"/>
    </row>
    <row r="44" spans="2:10" ht="34">
      <c r="B44" s="39" t="s">
        <v>186</v>
      </c>
      <c r="C44" s="67" t="s">
        <v>379</v>
      </c>
      <c r="D44" s="67" t="s">
        <v>382</v>
      </c>
      <c r="E44" s="68" t="s">
        <v>187</v>
      </c>
      <c r="F44" s="68" t="s">
        <v>380</v>
      </c>
      <c r="G44" s="68" t="s">
        <v>381</v>
      </c>
      <c r="H44" s="32" t="s">
        <v>371</v>
      </c>
    </row>
    <row r="45" spans="2:10">
      <c r="B45" s="171"/>
      <c r="C45" s="173"/>
      <c r="D45" s="173"/>
      <c r="E45" s="196"/>
      <c r="F45" s="164"/>
      <c r="G45" s="172"/>
      <c r="H45"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c r="J45" s="197"/>
    </row>
    <row r="46" spans="2:10">
      <c r="B46" s="171"/>
      <c r="C46" s="173"/>
      <c r="D46" s="173"/>
      <c r="E46" s="196"/>
      <c r="F46" s="164"/>
      <c r="G46" s="172"/>
      <c r="H46"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c r="J46" s="197"/>
    </row>
    <row r="47" spans="2:10">
      <c r="B47" s="171"/>
      <c r="C47" s="173"/>
      <c r="D47" s="173"/>
      <c r="E47" s="196"/>
      <c r="F47" s="164"/>
      <c r="G47" s="172"/>
      <c r="H47"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c r="J47" s="197"/>
    </row>
    <row r="48" spans="2:10">
      <c r="B48" s="171"/>
      <c r="C48" s="173"/>
      <c r="D48" s="173"/>
      <c r="E48" s="196"/>
      <c r="F48" s="164"/>
      <c r="G48" s="172"/>
      <c r="H48"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c r="J48" s="197"/>
    </row>
    <row r="49" spans="2:8">
      <c r="B49" s="171"/>
      <c r="C49" s="173"/>
      <c r="D49" s="173"/>
      <c r="E49" s="196"/>
      <c r="F49" s="164"/>
      <c r="G49" s="172"/>
      <c r="H49"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0" spans="2:8">
      <c r="B50" s="171"/>
      <c r="C50" s="173"/>
      <c r="D50" s="173"/>
      <c r="E50" s="196"/>
      <c r="F50" s="164"/>
      <c r="G50" s="172"/>
      <c r="H50"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1" spans="2:8">
      <c r="B51" s="171"/>
      <c r="C51" s="173"/>
      <c r="D51" s="173"/>
      <c r="E51" s="196"/>
      <c r="F51" s="164"/>
      <c r="G51" s="172"/>
      <c r="H51"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2" spans="2:8">
      <c r="B52" s="171"/>
      <c r="C52" s="173"/>
      <c r="D52" s="173"/>
      <c r="E52" s="196"/>
      <c r="F52" s="164"/>
      <c r="G52" s="172"/>
      <c r="H52"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3" spans="2:8">
      <c r="B53" s="171"/>
      <c r="C53" s="173"/>
      <c r="D53" s="173"/>
      <c r="E53" s="196"/>
      <c r="F53" s="164"/>
      <c r="G53" s="172"/>
      <c r="H53"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4" spans="2:8">
      <c r="B54" s="171"/>
      <c r="C54" s="173"/>
      <c r="D54" s="173"/>
      <c r="E54" s="196"/>
      <c r="F54" s="164"/>
      <c r="G54" s="172"/>
      <c r="H54"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5" spans="2:8">
      <c r="B55" s="171"/>
      <c r="C55" s="173"/>
      <c r="D55" s="173"/>
      <c r="E55" s="196"/>
      <c r="F55" s="164"/>
      <c r="G55" s="172"/>
      <c r="H55"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6" spans="2:8">
      <c r="B56" s="171"/>
      <c r="C56" s="173"/>
      <c r="D56" s="173"/>
      <c r="E56" s="196"/>
      <c r="F56" s="164"/>
      <c r="G56" s="172"/>
      <c r="H56"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7" spans="2:8">
      <c r="B57" s="171"/>
      <c r="C57" s="173"/>
      <c r="D57" s="173"/>
      <c r="E57" s="196"/>
      <c r="F57" s="164"/>
      <c r="G57" s="172"/>
      <c r="H57"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8" spans="2:8">
      <c r="B58" s="171"/>
      <c r="C58" s="173"/>
      <c r="D58" s="173"/>
      <c r="E58" s="196"/>
      <c r="F58" s="164"/>
      <c r="G58" s="172"/>
      <c r="H58"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59" spans="2:8">
      <c r="B59" s="171"/>
      <c r="C59" s="173"/>
      <c r="D59" s="173"/>
      <c r="E59" s="196"/>
      <c r="F59" s="164"/>
      <c r="G59" s="172"/>
      <c r="H59"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60" spans="2:8">
      <c r="B60" s="171"/>
      <c r="C60" s="173"/>
      <c r="D60" s="173"/>
      <c r="E60" s="196"/>
      <c r="F60" s="164"/>
      <c r="G60" s="172"/>
      <c r="H60"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61" spans="2:8">
      <c r="B61" s="171"/>
      <c r="C61" s="173"/>
      <c r="D61" s="173"/>
      <c r="E61" s="196"/>
      <c r="F61" s="164"/>
      <c r="G61" s="172"/>
      <c r="H61"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62" spans="2:8">
      <c r="B62" s="171"/>
      <c r="C62" s="173"/>
      <c r="D62" s="173"/>
      <c r="E62" s="196"/>
      <c r="F62" s="164"/>
      <c r="G62" s="172"/>
      <c r="H62"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63" spans="2:8">
      <c r="B63" s="171"/>
      <c r="C63" s="173"/>
      <c r="D63" s="173"/>
      <c r="E63" s="196"/>
      <c r="F63" s="164"/>
      <c r="G63" s="172"/>
      <c r="H63"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row r="64" spans="2:8">
      <c r="B64" s="171"/>
      <c r="C64" s="173"/>
      <c r="D64" s="173"/>
      <c r="E64" s="196"/>
      <c r="F64" s="164"/>
      <c r="G64" s="172"/>
      <c r="H64" s="174" t="str">
        <f>IF(tbl_biodiesel_veh[[#This Row],[Percent of Fuel Use]]="","",tbl_biodiesel_veh[[#This Row],[Number of Vehicles]]*tbl_biodiesel_veh[[#This Row],[Annual VMT]]*tbl_biodiesel_veh[[#This Row],[Percent of Fuel Use]]*DGGE/tbl_biodiesel_veh[[#This Row],[Fuel Economy (miles/GGE)]]*(1-VLOOKUP(tbl_biodiesel_veh[[#This Row],[Percent B100 in Biodiesel Blend]],Biodiesel_blendfactors[],3,FALSE)*DGGE/VLOOKUP(tbl_biodiesel_veh[[#This Row],[Percent B100 in Biodiesel Blend]],Biodiesel_blendfactors[],2,FALSE)))</f>
        <v/>
      </c>
    </row>
  </sheetData>
  <sheetProtection formatColumns="0" formatRows="0"/>
  <mergeCells count="20">
    <mergeCell ref="B9:C9"/>
    <mergeCell ref="D9:E9"/>
    <mergeCell ref="B6:C6"/>
    <mergeCell ref="D6:E6"/>
    <mergeCell ref="B7:C7"/>
    <mergeCell ref="D7:E7"/>
    <mergeCell ref="B8:C8"/>
    <mergeCell ref="D8:E8"/>
    <mergeCell ref="B3:C3"/>
    <mergeCell ref="D3:E3"/>
    <mergeCell ref="B4:C4"/>
    <mergeCell ref="D4:E4"/>
    <mergeCell ref="B5:C5"/>
    <mergeCell ref="D5:E5"/>
    <mergeCell ref="B10:C10"/>
    <mergeCell ref="D10:E10"/>
    <mergeCell ref="B11:C11"/>
    <mergeCell ref="D11:E11"/>
    <mergeCell ref="B40:I41"/>
    <mergeCell ref="B34:G36"/>
  </mergeCells>
  <dataValidations xWindow="910" yWindow="909" count="4">
    <dataValidation allowBlank="1" showInputMessage="1" showErrorMessage="1" errorTitle="invalid date" error="The date you entered is not within the current model year. Please enter the date in text format mm-dd-yyyy" sqref="F45:F64" xr:uid="{00000000-0002-0000-0300-000000000000}"/>
    <dataValidation allowBlank="1" showInputMessage="1" showErrorMessage="1" prompt="(not required) Enter VIN or other vehicle identifier._x000d_To add a new transaction, start typing in the cell just below the last entry in this column. A new row will be added automatically." sqref="B44" xr:uid="{00000000-0002-0000-0300-000001000000}"/>
    <dataValidation type="list" allowBlank="1" showInputMessage="1" showErrorMessage="1" sqref="B45:B64" xr:uid="{00000000-0002-0000-0300-000002000000}">
      <formula1>Diesel_Vehicle_Type</formula1>
    </dataValidation>
    <dataValidation type="list" allowBlank="1" showInputMessage="1" showErrorMessage="1" sqref="E45:E64" xr:uid="{00000000-0002-0000-0300-000003000000}">
      <formula1>Biodiesel_blends</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L61"/>
  <sheetViews>
    <sheetView showGridLines="0" topLeftCell="A11" zoomScale="80" zoomScaleNormal="80" zoomScalePageLayoutView="80" workbookViewId="0">
      <selection activeCell="B42" sqref="B42:G42"/>
    </sheetView>
  </sheetViews>
  <sheetFormatPr baseColWidth="10" defaultColWidth="8.83203125" defaultRowHeight="16"/>
  <cols>
    <col min="1" max="1" width="8.83203125" style="1"/>
    <col min="2" max="11" width="19.33203125" style="1" customWidth="1"/>
    <col min="12" max="15" width="17.83203125" style="1" customWidth="1"/>
    <col min="16" max="16384" width="8.83203125" style="1"/>
  </cols>
  <sheetData>
    <row r="1" spans="1:10" ht="18" customHeight="1">
      <c r="A1"/>
      <c r="B1"/>
      <c r="C1"/>
      <c r="D1"/>
      <c r="E1"/>
      <c r="F1"/>
      <c r="G1"/>
      <c r="H1"/>
      <c r="I1"/>
      <c r="J1"/>
    </row>
    <row r="2" spans="1:10" ht="18" customHeight="1">
      <c r="A2"/>
      <c r="B2"/>
      <c r="C2"/>
      <c r="D2"/>
      <c r="E2"/>
      <c r="F2"/>
      <c r="G2"/>
      <c r="H2"/>
      <c r="I2"/>
      <c r="J2"/>
    </row>
    <row r="3" spans="1:10" ht="18" customHeight="1" thickBot="1">
      <c r="A3"/>
      <c r="B3" s="237" t="s">
        <v>358</v>
      </c>
      <c r="C3" s="237"/>
      <c r="D3" s="237" t="s">
        <v>359</v>
      </c>
      <c r="E3" s="237"/>
      <c r="F3" s="165"/>
      <c r="G3" s="165"/>
      <c r="H3" s="165"/>
      <c r="I3" s="165"/>
      <c r="J3"/>
    </row>
    <row r="4" spans="1:10" ht="18" customHeight="1" thickTop="1">
      <c r="A4"/>
      <c r="B4" s="238" t="s">
        <v>360</v>
      </c>
      <c r="C4" s="238"/>
      <c r="D4" s="241">
        <f>Alt_Fuel_GGE</f>
        <v>0</v>
      </c>
      <c r="E4" s="241"/>
      <c r="F4" s="165"/>
      <c r="G4" s="165"/>
      <c r="H4" s="165"/>
      <c r="I4" s="165"/>
      <c r="J4"/>
    </row>
    <row r="5" spans="1:10" ht="18" customHeight="1">
      <c r="A5"/>
      <c r="B5" s="239" t="s">
        <v>367</v>
      </c>
      <c r="C5" s="239"/>
      <c r="D5" s="235">
        <f>PHEV_GGE</f>
        <v>0</v>
      </c>
      <c r="E5" s="235"/>
      <c r="F5" s="165"/>
      <c r="G5" s="165"/>
      <c r="H5" s="165"/>
      <c r="I5" s="165"/>
      <c r="J5"/>
    </row>
    <row r="6" spans="1:10" ht="18" customHeight="1">
      <c r="A6"/>
      <c r="B6" s="239" t="s">
        <v>361</v>
      </c>
      <c r="C6" s="239"/>
      <c r="D6" s="235">
        <f>Biodiesel_GGE</f>
        <v>0</v>
      </c>
      <c r="E6" s="235"/>
      <c r="F6" s="165"/>
      <c r="G6" s="165"/>
      <c r="H6" s="165"/>
      <c r="I6" s="165"/>
      <c r="J6"/>
    </row>
    <row r="7" spans="1:10" ht="18" customHeight="1">
      <c r="A7"/>
      <c r="B7" s="239" t="s">
        <v>362</v>
      </c>
      <c r="C7" s="239"/>
      <c r="D7" s="235">
        <f>Replace_vehicles_GGE</f>
        <v>0</v>
      </c>
      <c r="E7" s="235"/>
      <c r="F7" s="165"/>
      <c r="G7" s="165"/>
      <c r="H7" s="165"/>
      <c r="I7" s="165"/>
      <c r="J7"/>
    </row>
    <row r="8" spans="1:10" ht="18" customHeight="1">
      <c r="A8"/>
      <c r="B8" s="239" t="s">
        <v>363</v>
      </c>
      <c r="C8" s="239"/>
      <c r="D8" s="235">
        <f>VMT_GGE</f>
        <v>0</v>
      </c>
      <c r="E8" s="235"/>
      <c r="F8" s="165"/>
      <c r="G8" s="165"/>
      <c r="H8" s="165"/>
      <c r="I8" s="165"/>
      <c r="J8"/>
    </row>
    <row r="9" spans="1:10" ht="18" customHeight="1">
      <c r="A9"/>
      <c r="B9" s="239" t="s">
        <v>364</v>
      </c>
      <c r="C9" s="239"/>
      <c r="D9" s="235">
        <f>TruckStopIR_GGE</f>
        <v>0</v>
      </c>
      <c r="E9" s="235"/>
      <c r="F9" s="165"/>
      <c r="G9" s="165"/>
      <c r="H9" s="165"/>
      <c r="I9" s="165"/>
      <c r="J9"/>
    </row>
    <row r="10" spans="1:10" ht="18" customHeight="1">
      <c r="A10"/>
      <c r="B10" s="239" t="s">
        <v>365</v>
      </c>
      <c r="C10" s="239"/>
      <c r="D10" s="235">
        <f>VehicleIR_GGE</f>
        <v>0</v>
      </c>
      <c r="E10" s="235"/>
      <c r="F10" s="165"/>
      <c r="G10" s="165"/>
      <c r="H10" s="165"/>
      <c r="I10" s="165"/>
      <c r="J10"/>
    </row>
    <row r="11" spans="1:10" ht="18" customHeight="1" thickBot="1">
      <c r="A11"/>
      <c r="B11" s="240" t="s">
        <v>366</v>
      </c>
      <c r="C11" s="240"/>
      <c r="D11" s="236">
        <f>OnboardIR_GGE</f>
        <v>0</v>
      </c>
      <c r="E11" s="236"/>
      <c r="F11" s="165"/>
      <c r="G11" s="165"/>
      <c r="H11" s="165"/>
      <c r="I11" s="165"/>
      <c r="J11"/>
    </row>
    <row r="12" spans="1:10" ht="18" customHeight="1">
      <c r="A12"/>
      <c r="B12" s="165"/>
      <c r="C12" s="165"/>
      <c r="D12" s="165"/>
      <c r="E12" s="165"/>
      <c r="F12" s="165"/>
      <c r="G12" s="165"/>
      <c r="H12" s="165"/>
      <c r="I12" s="165"/>
      <c r="J12"/>
    </row>
    <row r="13" spans="1:10" ht="18" customHeight="1">
      <c r="A13"/>
      <c r="B13" s="165"/>
      <c r="C13" s="165"/>
      <c r="D13" s="165"/>
      <c r="E13" s="165"/>
      <c r="F13" s="165"/>
      <c r="G13" s="165"/>
      <c r="H13" s="165"/>
      <c r="I13" s="165"/>
      <c r="J13"/>
    </row>
    <row r="14" spans="1:10" ht="18" customHeight="1">
      <c r="A14"/>
      <c r="B14" s="165"/>
      <c r="C14" s="165"/>
      <c r="D14" s="165"/>
      <c r="E14" s="165"/>
      <c r="F14" s="165"/>
      <c r="G14" s="165"/>
      <c r="H14" s="165"/>
      <c r="I14" s="165"/>
      <c r="J14"/>
    </row>
    <row r="15" spans="1:10" ht="18" customHeight="1">
      <c r="A15"/>
      <c r="B15" s="165"/>
      <c r="C15" s="165"/>
      <c r="D15" s="165"/>
      <c r="E15" s="165"/>
      <c r="F15" s="165"/>
      <c r="G15" s="165"/>
      <c r="H15" s="165"/>
      <c r="I15" s="165"/>
      <c r="J15"/>
    </row>
    <row r="16" spans="1:10" ht="18" customHeight="1">
      <c r="A16"/>
      <c r="B16" s="165"/>
      <c r="C16" s="165"/>
      <c r="D16" s="165"/>
      <c r="E16" s="165"/>
      <c r="F16" s="165"/>
      <c r="G16" s="165"/>
      <c r="H16" s="165"/>
      <c r="I16" s="165"/>
      <c r="J16"/>
    </row>
    <row r="17" spans="1:10" ht="18" customHeight="1">
      <c r="A17"/>
      <c r="B17" s="165"/>
      <c r="C17" s="165"/>
      <c r="D17" s="165"/>
      <c r="E17" s="165"/>
      <c r="F17" s="165"/>
      <c r="G17" s="165"/>
      <c r="H17" s="165"/>
      <c r="I17" s="165"/>
      <c r="J17"/>
    </row>
    <row r="18" spans="1:10" ht="18" customHeight="1">
      <c r="A18"/>
      <c r="B18" s="165"/>
      <c r="C18" s="165"/>
      <c r="D18" s="165"/>
      <c r="E18" s="165"/>
      <c r="F18" s="165"/>
      <c r="G18" s="165"/>
      <c r="H18" s="165"/>
      <c r="I18" s="165"/>
      <c r="J18"/>
    </row>
    <row r="19" spans="1:10" ht="18" customHeight="1">
      <c r="A19"/>
      <c r="B19" s="165"/>
      <c r="C19" s="165"/>
      <c r="D19" s="165"/>
      <c r="E19" s="165"/>
      <c r="F19" s="165"/>
      <c r="G19" s="165"/>
      <c r="H19" s="165"/>
      <c r="I19" s="165"/>
      <c r="J19"/>
    </row>
    <row r="20" spans="1:10" ht="18" customHeight="1">
      <c r="A20"/>
      <c r="B20" s="165"/>
      <c r="C20" s="165"/>
      <c r="D20" s="165"/>
      <c r="E20" s="165"/>
      <c r="F20" s="165"/>
      <c r="G20" s="165"/>
      <c r="H20" s="165"/>
      <c r="I20" s="165"/>
      <c r="J20"/>
    </row>
    <row r="21" spans="1:10" ht="18" customHeight="1">
      <c r="A21"/>
      <c r="B21" s="165"/>
      <c r="C21" s="165"/>
      <c r="D21" s="165"/>
      <c r="E21" s="165"/>
      <c r="F21" s="165"/>
      <c r="G21" s="165"/>
      <c r="H21" s="165"/>
      <c r="I21" s="165"/>
      <c r="J21"/>
    </row>
    <row r="22" spans="1:10" ht="18" customHeight="1">
      <c r="A22"/>
      <c r="B22" s="165"/>
      <c r="C22" s="165"/>
      <c r="D22" s="165"/>
      <c r="E22" s="165"/>
      <c r="F22" s="165"/>
      <c r="G22" s="165"/>
      <c r="H22" s="165"/>
      <c r="I22" s="165"/>
      <c r="J22"/>
    </row>
    <row r="23" spans="1:10" ht="18" customHeight="1">
      <c r="A23"/>
      <c r="J23"/>
    </row>
    <row r="24" spans="1:10" ht="18" customHeight="1">
      <c r="A24"/>
      <c r="J24"/>
    </row>
    <row r="25" spans="1:10" ht="18" customHeight="1">
      <c r="A25"/>
      <c r="J25"/>
    </row>
    <row r="26" spans="1:10" ht="18" customHeight="1">
      <c r="A26"/>
      <c r="J26"/>
    </row>
    <row r="27" spans="1:10" ht="18" customHeight="1">
      <c r="A27"/>
      <c r="J27"/>
    </row>
    <row r="28" spans="1:10" ht="18" customHeight="1">
      <c r="I28"/>
    </row>
    <row r="29" spans="1:10" ht="18" customHeight="1"/>
    <row r="30" spans="1:10" ht="18" customHeight="1"/>
    <row r="31" spans="1:10">
      <c r="A31"/>
      <c r="B31"/>
      <c r="C31"/>
      <c r="D31"/>
      <c r="E31"/>
      <c r="F31"/>
      <c r="G31"/>
      <c r="H31"/>
      <c r="I31"/>
    </row>
    <row r="32" spans="1:10" ht="65" customHeight="1">
      <c r="A32"/>
      <c r="B32"/>
      <c r="C32"/>
      <c r="D32"/>
      <c r="E32"/>
      <c r="F32"/>
      <c r="G32"/>
      <c r="H32"/>
      <c r="I32"/>
    </row>
    <row r="33" spans="1:12" ht="30.75" customHeight="1">
      <c r="A33"/>
      <c r="B33" s="109" t="s">
        <v>369</v>
      </c>
      <c r="C33" s="110"/>
      <c r="D33" s="110"/>
      <c r="E33" s="110"/>
      <c r="F33" s="108"/>
      <c r="G33" s="108"/>
      <c r="H33" s="108"/>
      <c r="I33" s="108"/>
      <c r="J33" s="108"/>
    </row>
    <row r="34" spans="1:12" ht="19" customHeight="1">
      <c r="A34"/>
      <c r="B34" s="289" t="s">
        <v>419</v>
      </c>
      <c r="C34" s="289"/>
      <c r="D34" s="289"/>
      <c r="E34" s="289"/>
      <c r="F34" s="289"/>
      <c r="G34" s="289"/>
      <c r="H34" s="289"/>
      <c r="I34" s="180"/>
      <c r="J34" s="180"/>
    </row>
    <row r="35" spans="1:12" ht="19" customHeight="1">
      <c r="A35"/>
      <c r="B35" s="180"/>
      <c r="C35" s="180"/>
      <c r="D35" s="180"/>
      <c r="E35" s="180"/>
      <c r="F35" s="180"/>
      <c r="G35" s="180"/>
      <c r="H35" s="180"/>
      <c r="I35" s="180"/>
      <c r="J35" s="180"/>
    </row>
    <row r="36" spans="1:12" ht="19">
      <c r="B36" s="288" t="s">
        <v>252</v>
      </c>
      <c r="C36" s="288"/>
      <c r="D36" s="119">
        <f>SUM(tbl_FuelEconomy[Petroleum Reduction (GGE)])</f>
        <v>0</v>
      </c>
      <c r="E36" s="113" t="s">
        <v>52</v>
      </c>
      <c r="F36" s="112"/>
      <c r="G36" s="111"/>
      <c r="H36" s="111"/>
      <c r="I36" s="111"/>
      <c r="J36" s="111"/>
    </row>
    <row r="37" spans="1:12" customFormat="1"/>
    <row r="38" spans="1:12" customFormat="1" ht="24.75" customHeight="1">
      <c r="B38" s="290" t="s">
        <v>421</v>
      </c>
      <c r="C38" s="290"/>
      <c r="D38" s="290"/>
      <c r="E38" s="290"/>
      <c r="F38" s="290"/>
      <c r="G38" s="290"/>
      <c r="H38" s="290"/>
    </row>
    <row r="39" spans="1:12" ht="24.75" customHeight="1">
      <c r="B39" s="290"/>
      <c r="C39" s="290"/>
      <c r="D39" s="290"/>
      <c r="E39" s="290"/>
      <c r="F39" s="290"/>
      <c r="G39" s="290"/>
      <c r="H39" s="290"/>
    </row>
    <row r="40" spans="1:12" ht="19">
      <c r="B40" s="167" t="s">
        <v>368</v>
      </c>
      <c r="C40" s="167"/>
      <c r="D40" s="167"/>
      <c r="E40" s="167"/>
      <c r="F40" s="167"/>
      <c r="G40" s="167"/>
      <c r="H40" s="167"/>
      <c r="I40" s="167"/>
      <c r="J40" s="167"/>
      <c r="K40" s="167"/>
      <c r="L40" s="167"/>
    </row>
    <row r="41" spans="1:12" ht="63" customHeight="1" thickBot="1">
      <c r="B41" s="116" t="s">
        <v>398</v>
      </c>
      <c r="C41" s="184" t="s">
        <v>399</v>
      </c>
      <c r="D41" s="115" t="s">
        <v>379</v>
      </c>
      <c r="E41" s="115" t="s">
        <v>391</v>
      </c>
      <c r="F41" s="117" t="s">
        <v>392</v>
      </c>
      <c r="G41" s="117" t="s">
        <v>370</v>
      </c>
      <c r="H41" s="118" t="s">
        <v>371</v>
      </c>
      <c r="J41" s="30" t="str">
        <f>IF(ISNA(MATCH("Odyne PHEV bucket truck",tbl_FuelEconomy[Vehicle Type (select from list)],0)),"","Enter Odyne PHEV bucket truck average hours per day of power take off")</f>
        <v/>
      </c>
      <c r="K41" s="30" t="str">
        <f>IF(ISNA(MATCH("Odyne PHEV bucket truck",tbl_FuelEconomy[Vehicle Type (select from list)],0)),"","Use this value for the Fuel Economy of the Old Vehicle")</f>
        <v/>
      </c>
      <c r="L41" s="30" t="str">
        <f>IF(ISNA(MATCH("Odyne PHEV bucket truck",tbl_FuelEconomy[Vehicle Type (select from list)],0)),"","Use this value for the Fuel Economy of the PHEV bucket truck")</f>
        <v/>
      </c>
    </row>
    <row r="42" spans="1:12" ht="29" customHeight="1">
      <c r="B42" s="155"/>
      <c r="C42" s="155"/>
      <c r="D42" s="153"/>
      <c r="E42" s="154"/>
      <c r="F42" s="106"/>
      <c r="G42" s="177"/>
      <c r="H42" s="156" t="str">
        <f>IF(tbl_FuelEconomy[[#This Row],[Fuel Economy of New Vehicle (miles/GGE)]]="","",tbl_FuelEconomy[[#This Row],[Number of Vehicles]]*tbl_FuelEconomy[[#This Row],[Average VMT (miles/year/vehicle)]]*(1/tbl_FuelEconomy[[#This Row],[Fuel Economy of Old Vehicle (miles/GGE)]]-1/tbl_FuelEconomy[[#This Row],[Fuel Economy of New Vehicle (miles/GGE)]]))</f>
        <v/>
      </c>
      <c r="K42" s="201" t="str">
        <f>IF(J42&gt;0,tbl_FuelEconomy[[#This Row],[Average VMT (miles/year/vehicle)]]/250/(1.884+J42*1.506+tbl_FuelEconomy[[#This Row],[Average VMT (miles/year/vehicle)]]/250/6.4),"")</f>
        <v/>
      </c>
      <c r="L42" s="201" t="str">
        <f>IF(J42&gt;0,tbl_FuelEconomy[[#This Row],[Average VMT (miles/year/vehicle)]]/250/(MAX(J42-5,0)/6.11+tbl_FuelEconomy[[#This Row],[Average VMT (miles/year/vehicle)]]/250/6.4+1.88+MAX(J42-5,0)*1.51+MIN(5,J42)*0.05),"")</f>
        <v/>
      </c>
    </row>
    <row r="43" spans="1:12" ht="17">
      <c r="B43" s="155"/>
      <c r="C43" s="155"/>
      <c r="D43" s="153"/>
      <c r="E43" s="154"/>
      <c r="F43" s="106"/>
      <c r="G43" s="168"/>
      <c r="H43" s="156" t="str">
        <f>IF(tbl_FuelEconomy[[#This Row],[Fuel Economy of New Vehicle (miles/GGE)]]="","",tbl_FuelEconomy[[#This Row],[Number of Vehicles]]*tbl_FuelEconomy[[#This Row],[Average VMT (miles/year/vehicle)]]*(1/tbl_FuelEconomy[[#This Row],[Fuel Economy of Old Vehicle (miles/GGE)]]-1/tbl_FuelEconomy[[#This Row],[Fuel Economy of New Vehicle (miles/GGE)]]))</f>
        <v/>
      </c>
      <c r="K43" s="201"/>
      <c r="L43" s="201"/>
    </row>
    <row r="44" spans="1:12" ht="17">
      <c r="B44" s="159"/>
      <c r="C44" s="159"/>
      <c r="D44" s="153"/>
      <c r="E44" s="158"/>
      <c r="F44" s="157"/>
      <c r="G44" s="169"/>
      <c r="H44" s="160" t="str">
        <f>IF(tbl_FuelEconomy[[#This Row],[Fuel Economy of New Vehicle (miles/GGE)]]="","",tbl_FuelEconomy[[#This Row],[Number of Vehicles]]*tbl_FuelEconomy[[#This Row],[Average VMT (miles/year/vehicle)]]*(1/tbl_FuelEconomy[[#This Row],[Fuel Economy of Old Vehicle (miles/GGE)]]-1/tbl_FuelEconomy[[#This Row],[Fuel Economy of New Vehicle (miles/GGE)]]))</f>
        <v/>
      </c>
      <c r="K44" s="201" t="str">
        <f>IF(J44&gt;0,tbl_FuelEconomy[[#This Row],[Average VMT (miles/year/vehicle)]]/250/(1.884+J44*1.506+tbl_FuelEconomy[[#This Row],[Average VMT (miles/year/vehicle)]]/250/6.4),"")</f>
        <v/>
      </c>
      <c r="L44" s="201" t="str">
        <f>IF(J44&gt;0,tbl_FuelEconomy[[#This Row],[Average VMT (miles/year/vehicle)]]/250/(MAX(J44-5,0)/6.11+tbl_FuelEconomy[[#This Row],[Average VMT (miles/year/vehicle)]]/250/6.4+1.88+MAX(J44-5,0)*1.51+MIN(5,J44)*0.05),"")</f>
        <v/>
      </c>
    </row>
    <row r="45" spans="1:12" ht="17">
      <c r="B45" s="159"/>
      <c r="C45" s="159"/>
      <c r="D45" s="161"/>
      <c r="E45" s="162"/>
      <c r="F45" s="157"/>
      <c r="G45" s="170"/>
      <c r="H45" s="163" t="str">
        <f>IF(tbl_FuelEconomy[[#This Row],[Fuel Economy of New Vehicle (miles/GGE)]]="","",tbl_FuelEconomy[[#This Row],[Number of Vehicles]]*tbl_FuelEconomy[[#This Row],[Average VMT (miles/year/vehicle)]]*(1/tbl_FuelEconomy[[#This Row],[Fuel Economy of Old Vehicle (miles/GGE)]]-1/tbl_FuelEconomy[[#This Row],[Fuel Economy of New Vehicle (miles/GGE)]]))</f>
        <v/>
      </c>
      <c r="K45" s="201" t="str">
        <f>IF(J45&gt;0,tbl_FuelEconomy[[#This Row],[Average VMT (miles/year/vehicle)]]/250/(1.884+J45*1.506+tbl_FuelEconomy[[#This Row],[Average VMT (miles/year/vehicle)]]/250/6.4),"")</f>
        <v/>
      </c>
      <c r="L45" s="201" t="str">
        <f>IF(J45&gt;0,tbl_FuelEconomy[[#This Row],[Average VMT (miles/year/vehicle)]]/250/(MAX(J45-5,0)/6.11+tbl_FuelEconomy[[#This Row],[Average VMT (miles/year/vehicle)]]/250/6.4+1.88+MAX(J45-5,0)*1.51+MIN(5,J45)*0.05),"")</f>
        <v/>
      </c>
    </row>
    <row r="46" spans="1:12" ht="17">
      <c r="K46" s="201" t="str">
        <f>IF(J46&gt;0,tbl_FuelEconomy[[#This Row],[Average VMT (miles/year/vehicle)]]/250/(1.884+J46*1.506+tbl_FuelEconomy[[#This Row],[Average VMT (miles/year/vehicle)]]/250/6.4),"")</f>
        <v/>
      </c>
      <c r="L46" s="201" t="str">
        <f>IF(J46&gt;0,tbl_FuelEconomy[[#This Row],[Average VMT (miles/year/vehicle)]]/250/(MAX(J46-5,0)/6.11+tbl_FuelEconomy[[#This Row],[Average VMT (miles/year/vehicle)]]/250/6.4+1.88+MAX(J46-5,0)*1.51+MIN(5,J46)*0.05),"")</f>
        <v/>
      </c>
    </row>
    <row r="47" spans="1:12" ht="17">
      <c r="K47" s="201" t="str">
        <f>IF(J47&gt;0,tbl_FuelEconomy[[#This Row],[Average VMT (miles/year/vehicle)]]/250/(1.884+J47*1.506+tbl_FuelEconomy[[#This Row],[Average VMT (miles/year/vehicle)]]/250/6.4),"")</f>
        <v/>
      </c>
      <c r="L47" s="201" t="str">
        <f>IF(J47&gt;0,tbl_FuelEconomy[[#This Row],[Average VMT (miles/year/vehicle)]]/250/(MAX(J47-5,0)/6.11+tbl_FuelEconomy[[#This Row],[Average VMT (miles/year/vehicle)]]/250/6.4+1.88+MAX(J47-5,0)*1.51+MIN(5,J47)*0.05),"")</f>
        <v/>
      </c>
    </row>
    <row r="48" spans="1:12" ht="17">
      <c r="K48" s="201" t="str">
        <f>IF(J48&gt;0,tbl_FuelEconomy[[#This Row],[Average VMT (miles/year/vehicle)]]/250/(1.884+J48*1.506+tbl_FuelEconomy[[#This Row],[Average VMT (miles/year/vehicle)]]/250/6.4),"")</f>
        <v/>
      </c>
      <c r="L48" s="201" t="str">
        <f>IF(J48&gt;0,tbl_FuelEconomy[[#This Row],[Average VMT (miles/year/vehicle)]]/250/(MAX(J48-5,0)/6.11+tbl_FuelEconomy[[#This Row],[Average VMT (miles/year/vehicle)]]/250/6.4+1.88+MAX(J48-5,0)*1.51+MIN(5,J48)*0.05),"")</f>
        <v/>
      </c>
    </row>
    <row r="49" spans="11:12" ht="17">
      <c r="K49" s="201" t="str">
        <f>IF(J49&gt;0,tbl_FuelEconomy[[#This Row],[Average VMT (miles/year/vehicle)]]/250/(1.884+J49*1.506+tbl_FuelEconomy[[#This Row],[Average VMT (miles/year/vehicle)]]/250/6.4),"")</f>
        <v/>
      </c>
      <c r="L49" s="201" t="str">
        <f>IF(J49&gt;0,tbl_FuelEconomy[[#This Row],[Average VMT (miles/year/vehicle)]]/250/(MAX(J49-5,0)/6.11+tbl_FuelEconomy[[#This Row],[Average VMT (miles/year/vehicle)]]/250/6.4+1.88+MAX(J49-5,0)*1.51+MIN(5,J49)*0.05),"")</f>
        <v/>
      </c>
    </row>
    <row r="50" spans="11:12" ht="17">
      <c r="K50" s="201" t="str">
        <f>IF(J50&gt;0,tbl_FuelEconomy[[#This Row],[Average VMT (miles/year/vehicle)]]/250/(1.884+J50*1.506+tbl_FuelEconomy[[#This Row],[Average VMT (miles/year/vehicle)]]/250/6.4),"")</f>
        <v/>
      </c>
      <c r="L50" s="201" t="str">
        <f>IF(J50&gt;0,tbl_FuelEconomy[[#This Row],[Average VMT (miles/year/vehicle)]]/250/(MAX(J50-5,0)/6.11+tbl_FuelEconomy[[#This Row],[Average VMT (miles/year/vehicle)]]/250/6.4+1.88+MAX(J50-5,0)*1.51+MIN(5,J50)*0.05),"")</f>
        <v/>
      </c>
    </row>
    <row r="51" spans="11:12" ht="17">
      <c r="K51" s="201" t="str">
        <f>IF(J51&gt;0,tbl_FuelEconomy[[#This Row],[Average VMT (miles/year/vehicle)]]/250/(1.884+J51*1.506+tbl_FuelEconomy[[#This Row],[Average VMT (miles/year/vehicle)]]/250/6.4),"")</f>
        <v/>
      </c>
      <c r="L51" s="201" t="str">
        <f>IF(J51&gt;0,tbl_FuelEconomy[[#This Row],[Average VMT (miles/year/vehicle)]]/250/(MAX(J51-5,0)/6.11+tbl_FuelEconomy[[#This Row],[Average VMT (miles/year/vehicle)]]/250/6.4+1.88+MAX(J51-5,0)*1.51+MIN(5,J51)*0.05),"")</f>
        <v/>
      </c>
    </row>
    <row r="52" spans="11:12" ht="17">
      <c r="K52" s="201" t="str">
        <f>IF(J52&gt;0,tbl_FuelEconomy[[#This Row],[Average VMT (miles/year/vehicle)]]/250/(1.884+J52*1.506+tbl_FuelEconomy[[#This Row],[Average VMT (miles/year/vehicle)]]/250/6.4),"")</f>
        <v/>
      </c>
      <c r="L52" s="201" t="str">
        <f>IF(J52&gt;0,tbl_FuelEconomy[[#This Row],[Average VMT (miles/year/vehicle)]]/250/(MAX(J52-5,0)/6.11+tbl_FuelEconomy[[#This Row],[Average VMT (miles/year/vehicle)]]/250/6.4+1.88+MAX(J52-5,0)*1.51+MIN(5,J52)*0.05),"")</f>
        <v/>
      </c>
    </row>
    <row r="53" spans="11:12" ht="17">
      <c r="K53" s="201" t="str">
        <f>IF(J53&gt;0,tbl_FuelEconomy[[#This Row],[Average VMT (miles/year/vehicle)]]/250/(1.884+J53*1.506+tbl_FuelEconomy[[#This Row],[Average VMT (miles/year/vehicle)]]/250/6.4),"")</f>
        <v/>
      </c>
      <c r="L53" s="201" t="str">
        <f>IF(J53&gt;0,tbl_FuelEconomy[[#This Row],[Average VMT (miles/year/vehicle)]]/250/(MAX(J53-5,0)/6.11+tbl_FuelEconomy[[#This Row],[Average VMT (miles/year/vehicle)]]/250/6.4+1.88+MAX(J53-5,0)*1.51+MIN(5,J53)*0.05),"")</f>
        <v/>
      </c>
    </row>
    <row r="54" spans="11:12" ht="17">
      <c r="K54" s="201" t="str">
        <f>IF(J54&gt;0,tbl_FuelEconomy[[#This Row],[Average VMT (miles/year/vehicle)]]/250/(1.884+J54*1.506+tbl_FuelEconomy[[#This Row],[Average VMT (miles/year/vehicle)]]/250/6.4),"")</f>
        <v/>
      </c>
      <c r="L54" s="201" t="str">
        <f>IF(J54&gt;0,tbl_FuelEconomy[[#This Row],[Average VMT (miles/year/vehicle)]]/250/(MAX(J54-5,0)/6.11+tbl_FuelEconomy[[#This Row],[Average VMT (miles/year/vehicle)]]/250/6.4+1.88+MAX(J54-5,0)*1.51+MIN(5,J54)*0.05),"")</f>
        <v/>
      </c>
    </row>
    <row r="55" spans="11:12" ht="17">
      <c r="K55" s="201" t="str">
        <f>IF(J55&gt;0,tbl_FuelEconomy[[#This Row],[Average VMT (miles/year/vehicle)]]/250/(1.884+J55*1.506+tbl_FuelEconomy[[#This Row],[Average VMT (miles/year/vehicle)]]/250/6.4),"")</f>
        <v/>
      </c>
      <c r="L55" s="201" t="str">
        <f>IF(J55&gt;0,tbl_FuelEconomy[[#This Row],[Average VMT (miles/year/vehicle)]]/250/(MAX(J55-5,0)/6.11+tbl_FuelEconomy[[#This Row],[Average VMT (miles/year/vehicle)]]/250/6.4+1.88+MAX(J55-5,0)*1.51+MIN(5,J55)*0.05),"")</f>
        <v/>
      </c>
    </row>
    <row r="56" spans="11:12" ht="17">
      <c r="K56" s="201" t="str">
        <f>IF(J56&gt;0,tbl_FuelEconomy[[#This Row],[Average VMT (miles/year/vehicle)]]/250/(1.884+J56*1.506+tbl_FuelEconomy[[#This Row],[Average VMT (miles/year/vehicle)]]/250/6.4),"")</f>
        <v/>
      </c>
      <c r="L56" s="201" t="str">
        <f>IF(J56&gt;0,tbl_FuelEconomy[[#This Row],[Average VMT (miles/year/vehicle)]]/250/(MAX(J56-5,0)/6.11+tbl_FuelEconomy[[#This Row],[Average VMT (miles/year/vehicle)]]/250/6.4+1.88+MAX(J56-5,0)*1.51+MIN(5,J56)*0.05),"")</f>
        <v/>
      </c>
    </row>
    <row r="57" spans="11:12" ht="17">
      <c r="K57" s="201" t="str">
        <f>IF(J57&gt;0,tbl_FuelEconomy[[#This Row],[Average VMT (miles/year/vehicle)]]/250/(1.884+J57*1.506+tbl_FuelEconomy[[#This Row],[Average VMT (miles/year/vehicle)]]/250/6.4),"")</f>
        <v/>
      </c>
      <c r="L57" s="201" t="str">
        <f>IF(J57&gt;0,tbl_FuelEconomy[[#This Row],[Average VMT (miles/year/vehicle)]]/250/(MAX(J57-5,0)/6.11+tbl_FuelEconomy[[#This Row],[Average VMT (miles/year/vehicle)]]/250/6.4+1.88+MAX(J57-5,0)*1.51+MIN(5,J57)*0.05),"")</f>
        <v/>
      </c>
    </row>
    <row r="58" spans="11:12" ht="17">
      <c r="K58" s="201" t="str">
        <f>IF(J58&gt;0,tbl_FuelEconomy[[#This Row],[Average VMT (miles/year/vehicle)]]/250/(1.884+J58*1.506+tbl_FuelEconomy[[#This Row],[Average VMT (miles/year/vehicle)]]/250/6.4),"")</f>
        <v/>
      </c>
      <c r="L58" s="201" t="str">
        <f>IF(J58&gt;0,tbl_FuelEconomy[[#This Row],[Average VMT (miles/year/vehicle)]]/250/(MAX(J58-5,0)/6.11+tbl_FuelEconomy[[#This Row],[Average VMT (miles/year/vehicle)]]/250/6.4+1.88+MAX(J58-5,0)*1.51+MIN(5,J58)*0.05),"")</f>
        <v/>
      </c>
    </row>
    <row r="59" spans="11:12" ht="17">
      <c r="K59" s="201" t="str">
        <f>IF(J59&gt;0,tbl_FuelEconomy[[#This Row],[Average VMT (miles/year/vehicle)]]/250/(1.884+J59*1.506+tbl_FuelEconomy[[#This Row],[Average VMT (miles/year/vehicle)]]/250/6.4),"")</f>
        <v/>
      </c>
      <c r="L59" s="201" t="str">
        <f>IF(J59&gt;0,tbl_FuelEconomy[[#This Row],[Average VMT (miles/year/vehicle)]]/250/(MAX(J59-5,0)/6.11+tbl_FuelEconomy[[#This Row],[Average VMT (miles/year/vehicle)]]/250/6.4+1.88+MAX(J59-5,0)*1.51+MIN(5,J59)*0.05),"")</f>
        <v/>
      </c>
    </row>
    <row r="60" spans="11:12" ht="17">
      <c r="K60" s="201" t="str">
        <f>IF(J60&gt;0,tbl_FuelEconomy[[#This Row],[Average VMT (miles/year/vehicle)]]/250/(1.884+J60*1.506+tbl_FuelEconomy[[#This Row],[Average VMT (miles/year/vehicle)]]/250/6.4),"")</f>
        <v/>
      </c>
      <c r="L60" s="201" t="str">
        <f>IF(J60&gt;0,tbl_FuelEconomy[[#This Row],[Average VMT (miles/year/vehicle)]]/250/(MAX(J60-5,0)/6.11+tbl_FuelEconomy[[#This Row],[Average VMT (miles/year/vehicle)]]/250/6.4+1.88+MAX(J60-5,0)*1.51+MIN(5,J60)*0.05),"")</f>
        <v/>
      </c>
    </row>
    <row r="61" spans="11:12" ht="17">
      <c r="K61" s="201" t="str">
        <f>IF(J61&gt;0,tbl_FuelEconomy[[#This Row],[Average VMT (miles/year/vehicle)]]/250/(1.884+J61*1.506+tbl_FuelEconomy[[#This Row],[Average VMT (miles/year/vehicle)]]/250/6.4),"")</f>
        <v/>
      </c>
      <c r="L61" s="201" t="str">
        <f>IF(J61&gt;0,tbl_FuelEconomy[[#This Row],[Average VMT (miles/year/vehicle)]]/250/(MAX(J61-5,0)/6.11+tbl_FuelEconomy[[#This Row],[Average VMT (miles/year/vehicle)]]/250/6.4+1.88+MAX(J61-5,0)*1.51+MIN(5,J61)*0.05),"")</f>
        <v/>
      </c>
    </row>
  </sheetData>
  <sheetProtection formatColumns="0" formatRows="0"/>
  <mergeCells count="21">
    <mergeCell ref="B38:H39"/>
    <mergeCell ref="B3:C3"/>
    <mergeCell ref="D3:E3"/>
    <mergeCell ref="B4:C4"/>
    <mergeCell ref="D4:E4"/>
    <mergeCell ref="B5:C5"/>
    <mergeCell ref="D5:E5"/>
    <mergeCell ref="B6:C6"/>
    <mergeCell ref="D6:E6"/>
    <mergeCell ref="B7:C7"/>
    <mergeCell ref="D7:E7"/>
    <mergeCell ref="B36:C36"/>
    <mergeCell ref="B8:C8"/>
    <mergeCell ref="D8:E8"/>
    <mergeCell ref="B9:C9"/>
    <mergeCell ref="D9:E9"/>
    <mergeCell ref="B10:C10"/>
    <mergeCell ref="D10:E10"/>
    <mergeCell ref="B11:C11"/>
    <mergeCell ref="D11:E11"/>
    <mergeCell ref="B34:H34"/>
  </mergeCells>
  <conditionalFormatting sqref="E42:E45">
    <cfRule type="expression" dxfId="77" priority="11">
      <formula>OR(OFFSET($D42,0,-2)="New LD vehicle",OFFSET($D42,0,-2)="New MD/HD vehicle")</formula>
    </cfRule>
  </conditionalFormatting>
  <conditionalFormatting sqref="B42:C45">
    <cfRule type="expression" dxfId="76" priority="10">
      <formula>OR(OFFSET($E42,0,-3)="New LD vehicle",OFFSET($E42,0,-3)="New MD/HD vehicle")</formula>
    </cfRule>
  </conditionalFormatting>
  <conditionalFormatting sqref="D42:D45">
    <cfRule type="expression" dxfId="75" priority="17">
      <formula>OR(OFFSET(#REF!,0,-1)="New LD vehicle",OFFSET(#REF!,0,-1)="New MD/HD vehicle")</formula>
    </cfRule>
  </conditionalFormatting>
  <conditionalFormatting sqref="F42:F45">
    <cfRule type="expression" dxfId="74" priority="18">
      <formula>OR(OFFSET($B42,0,-4)="New LD vehicle",OFFSET($B42,0,-4)="New MD/HD vehicle")</formula>
    </cfRule>
  </conditionalFormatting>
  <conditionalFormatting sqref="J42:J61">
    <cfRule type="expression" dxfId="73" priority="6">
      <formula>$C42="Odyne PHEV bucket truck"</formula>
    </cfRule>
  </conditionalFormatting>
  <conditionalFormatting sqref="L40">
    <cfRule type="expression" dxfId="72" priority="2">
      <formula>"MATCH(""Odyne PHEV bucket truck"",tbl_FuelEconomy[Vehicle Type (select from list)],0)"</formula>
    </cfRule>
  </conditionalFormatting>
  <conditionalFormatting sqref="K42:L61">
    <cfRule type="expression" dxfId="71" priority="1">
      <formula>$C42="Odyne PHEV bucket truck"</formula>
    </cfRule>
  </conditionalFormatting>
  <dataValidations count="2">
    <dataValidation type="list" allowBlank="1" showInputMessage="1" showErrorMessage="1" sqref="B42:B45" xr:uid="{00000000-0002-0000-0400-000000000000}">
      <formula1>Conv_Fuels_List</formula1>
    </dataValidation>
    <dataValidation type="list" allowBlank="1" showInputMessage="1" showErrorMessage="1" sqref="C42:C45" xr:uid="{00000000-0002-0000-0400-000001000000}">
      <formula1>Vehicle_Size</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K45"/>
  <sheetViews>
    <sheetView showGridLines="0" topLeftCell="A30" zoomScale="80" zoomScaleNormal="80" zoomScalePageLayoutView="80" workbookViewId="0">
      <selection activeCell="E53" sqref="E53"/>
    </sheetView>
  </sheetViews>
  <sheetFormatPr baseColWidth="10" defaultColWidth="8.83203125" defaultRowHeight="16"/>
  <cols>
    <col min="1" max="1" width="8.83203125" style="1"/>
    <col min="2" max="2" width="19.5" style="1" customWidth="1"/>
    <col min="3" max="11" width="19.33203125" style="1" customWidth="1"/>
    <col min="12" max="16384" width="8.83203125" style="1"/>
  </cols>
  <sheetData>
    <row r="1" spans="1:11" ht="18" customHeight="1">
      <c r="A1"/>
      <c r="B1"/>
      <c r="C1"/>
      <c r="D1"/>
      <c r="E1"/>
      <c r="F1"/>
      <c r="G1"/>
      <c r="H1"/>
      <c r="I1"/>
      <c r="J1"/>
      <c r="K1"/>
    </row>
    <row r="2" spans="1:11" ht="18" customHeight="1">
      <c r="A2"/>
      <c r="B2"/>
      <c r="C2"/>
      <c r="D2"/>
      <c r="E2"/>
      <c r="F2"/>
      <c r="G2"/>
      <c r="H2"/>
      <c r="I2"/>
      <c r="J2"/>
      <c r="K2"/>
    </row>
    <row r="3" spans="1:11" ht="18" customHeight="1" thickBot="1">
      <c r="A3"/>
      <c r="B3" s="237" t="s">
        <v>358</v>
      </c>
      <c r="C3" s="237"/>
      <c r="D3" s="237" t="s">
        <v>359</v>
      </c>
      <c r="E3" s="237"/>
      <c r="F3" s="165"/>
      <c r="G3" s="165"/>
      <c r="H3" s="165"/>
      <c r="I3" s="165"/>
      <c r="J3"/>
      <c r="K3"/>
    </row>
    <row r="4" spans="1:11" ht="18" customHeight="1" thickTop="1">
      <c r="A4"/>
      <c r="B4" s="238" t="s">
        <v>360</v>
      </c>
      <c r="C4" s="238"/>
      <c r="D4" s="241">
        <f>Alt_Fuel_GGE</f>
        <v>0</v>
      </c>
      <c r="E4" s="241"/>
      <c r="F4" s="165"/>
      <c r="G4" s="165"/>
      <c r="H4" s="165"/>
      <c r="I4" s="165"/>
      <c r="J4"/>
      <c r="K4"/>
    </row>
    <row r="5" spans="1:11" ht="18" customHeight="1">
      <c r="A5"/>
      <c r="B5" s="239" t="s">
        <v>367</v>
      </c>
      <c r="C5" s="239"/>
      <c r="D5" s="235">
        <f>PHEV_GGE</f>
        <v>0</v>
      </c>
      <c r="E5" s="235"/>
      <c r="F5" s="165"/>
      <c r="G5" s="165"/>
      <c r="H5" s="165"/>
      <c r="I5" s="165"/>
      <c r="J5"/>
      <c r="K5"/>
    </row>
    <row r="6" spans="1:11" ht="18" customHeight="1">
      <c r="A6"/>
      <c r="B6" s="239" t="s">
        <v>361</v>
      </c>
      <c r="C6" s="239"/>
      <c r="D6" s="235">
        <f>Biodiesel_GGE</f>
        <v>0</v>
      </c>
      <c r="E6" s="235"/>
      <c r="F6" s="165"/>
      <c r="G6" s="165"/>
      <c r="H6" s="165"/>
      <c r="I6" s="165"/>
      <c r="J6"/>
      <c r="K6"/>
    </row>
    <row r="7" spans="1:11" ht="18" customHeight="1">
      <c r="A7"/>
      <c r="B7" s="239" t="s">
        <v>362</v>
      </c>
      <c r="C7" s="239"/>
      <c r="D7" s="235">
        <f>Replace_vehicles_GGE</f>
        <v>0</v>
      </c>
      <c r="E7" s="235"/>
      <c r="F7" s="165"/>
      <c r="G7" s="165"/>
      <c r="H7" s="165"/>
      <c r="I7" s="165"/>
      <c r="J7"/>
      <c r="K7"/>
    </row>
    <row r="8" spans="1:11" ht="18" customHeight="1">
      <c r="A8"/>
      <c r="B8" s="239" t="s">
        <v>363</v>
      </c>
      <c r="C8" s="239"/>
      <c r="D8" s="235">
        <f>VMT_GGE</f>
        <v>0</v>
      </c>
      <c r="E8" s="235"/>
      <c r="F8" s="165"/>
      <c r="G8" s="165"/>
      <c r="H8" s="165"/>
      <c r="I8" s="165"/>
      <c r="J8"/>
      <c r="K8"/>
    </row>
    <row r="9" spans="1:11" ht="18" customHeight="1">
      <c r="A9"/>
      <c r="B9" s="239" t="s">
        <v>364</v>
      </c>
      <c r="C9" s="239"/>
      <c r="D9" s="235">
        <f>TruckStopIR_GGE</f>
        <v>0</v>
      </c>
      <c r="E9" s="235"/>
      <c r="F9" s="165"/>
      <c r="G9" s="165"/>
      <c r="H9" s="165"/>
      <c r="I9" s="165"/>
      <c r="J9"/>
      <c r="K9"/>
    </row>
    <row r="10" spans="1:11" ht="18" customHeight="1">
      <c r="A10"/>
      <c r="B10" s="239" t="s">
        <v>365</v>
      </c>
      <c r="C10" s="239"/>
      <c r="D10" s="235">
        <f>VehicleIR_GGE</f>
        <v>0</v>
      </c>
      <c r="E10" s="235"/>
      <c r="F10" s="165"/>
      <c r="G10" s="165"/>
      <c r="H10" s="165"/>
      <c r="I10" s="165"/>
      <c r="J10"/>
      <c r="K10"/>
    </row>
    <row r="11" spans="1:11" ht="18" customHeight="1" thickBot="1">
      <c r="A11"/>
      <c r="B11" s="240" t="s">
        <v>366</v>
      </c>
      <c r="C11" s="240"/>
      <c r="D11" s="236">
        <f>OnboardIR_GGE</f>
        <v>0</v>
      </c>
      <c r="E11" s="236"/>
      <c r="F11" s="165"/>
      <c r="G11" s="165"/>
      <c r="H11" s="165"/>
      <c r="I11" s="165"/>
      <c r="J11"/>
      <c r="K11"/>
    </row>
    <row r="12" spans="1:11" ht="18" customHeight="1">
      <c r="A12"/>
      <c r="B12" s="165"/>
      <c r="C12" s="165"/>
      <c r="D12" s="165"/>
      <c r="E12" s="165"/>
      <c r="F12" s="165"/>
      <c r="G12" s="165"/>
      <c r="H12" s="165"/>
      <c r="I12" s="165"/>
      <c r="J12"/>
      <c r="K12"/>
    </row>
    <row r="13" spans="1:11" ht="18" customHeight="1">
      <c r="A13"/>
      <c r="B13" s="165"/>
      <c r="C13" s="165"/>
      <c r="D13" s="165"/>
      <c r="E13" s="165"/>
      <c r="F13" s="165"/>
      <c r="G13" s="165"/>
      <c r="H13" s="165"/>
      <c r="I13" s="165"/>
      <c r="J13"/>
      <c r="K13"/>
    </row>
    <row r="14" spans="1:11" ht="18" customHeight="1">
      <c r="A14"/>
      <c r="B14" s="165"/>
      <c r="C14" s="165"/>
      <c r="D14" s="165"/>
      <c r="E14" s="165"/>
      <c r="F14" s="165"/>
      <c r="G14" s="165"/>
      <c r="H14" s="165"/>
      <c r="I14" s="165"/>
      <c r="J14"/>
      <c r="K14"/>
    </row>
    <row r="15" spans="1:11" ht="18" customHeight="1">
      <c r="A15"/>
      <c r="B15" s="165"/>
      <c r="C15" s="165"/>
      <c r="D15" s="165"/>
      <c r="E15" s="165"/>
      <c r="F15" s="165"/>
      <c r="G15" s="165"/>
      <c r="H15" s="165"/>
      <c r="I15" s="165"/>
      <c r="J15"/>
      <c r="K15"/>
    </row>
    <row r="16" spans="1:11" ht="18" customHeight="1">
      <c r="A16"/>
      <c r="B16" s="165"/>
      <c r="C16" s="165"/>
      <c r="D16" s="165"/>
      <c r="E16" s="165"/>
      <c r="F16" s="165"/>
      <c r="G16" s="165"/>
      <c r="H16" s="165"/>
      <c r="I16" s="165"/>
      <c r="J16"/>
      <c r="K16"/>
    </row>
    <row r="17" spans="1:11" ht="18" customHeight="1">
      <c r="A17"/>
      <c r="B17" s="165"/>
      <c r="C17" s="165"/>
      <c r="D17" s="165"/>
      <c r="E17" s="165"/>
      <c r="F17" s="165"/>
      <c r="G17" s="165"/>
      <c r="H17" s="165"/>
      <c r="I17" s="165"/>
      <c r="J17"/>
      <c r="K17"/>
    </row>
    <row r="18" spans="1:11" ht="18" customHeight="1">
      <c r="A18"/>
      <c r="B18" s="165"/>
      <c r="C18" s="165"/>
      <c r="D18" s="165"/>
      <c r="E18" s="165"/>
      <c r="F18" s="165"/>
      <c r="G18" s="165"/>
      <c r="H18" s="165"/>
      <c r="I18" s="165"/>
      <c r="J18"/>
      <c r="K18"/>
    </row>
    <row r="19" spans="1:11" ht="18" customHeight="1">
      <c r="A19"/>
      <c r="B19" s="165"/>
      <c r="C19" s="165"/>
      <c r="D19" s="165"/>
      <c r="E19" s="165"/>
      <c r="F19" s="165"/>
      <c r="G19" s="165"/>
      <c r="H19" s="165"/>
      <c r="I19" s="165"/>
      <c r="J19"/>
      <c r="K19"/>
    </row>
    <row r="20" spans="1:11" ht="18" customHeight="1">
      <c r="A20"/>
      <c r="B20" s="165"/>
      <c r="C20" s="165"/>
      <c r="D20" s="165"/>
      <c r="E20" s="165"/>
      <c r="F20" s="165"/>
      <c r="G20" s="165"/>
      <c r="H20" s="165"/>
      <c r="I20" s="165"/>
      <c r="J20"/>
      <c r="K20"/>
    </row>
    <row r="21" spans="1:11" ht="18" customHeight="1">
      <c r="A21"/>
      <c r="B21" s="165"/>
      <c r="C21" s="165"/>
      <c r="D21" s="165"/>
      <c r="E21" s="165"/>
      <c r="F21" s="165"/>
      <c r="G21" s="165"/>
      <c r="H21" s="165"/>
      <c r="I21" s="165"/>
      <c r="J21"/>
      <c r="K21"/>
    </row>
    <row r="22" spans="1:11" ht="18" customHeight="1">
      <c r="A22"/>
      <c r="B22" s="165"/>
      <c r="C22" s="165"/>
      <c r="D22" s="165"/>
      <c r="E22" s="165"/>
      <c r="F22" s="165"/>
      <c r="G22" s="165"/>
      <c r="H22" s="165"/>
      <c r="I22" s="165"/>
      <c r="J22"/>
      <c r="K22"/>
    </row>
    <row r="23" spans="1:11" ht="18" customHeight="1">
      <c r="A23"/>
      <c r="J23"/>
      <c r="K23"/>
    </row>
    <row r="24" spans="1:11" ht="18" customHeight="1">
      <c r="A24"/>
      <c r="J24"/>
      <c r="K24"/>
    </row>
    <row r="25" spans="1:11" ht="18" customHeight="1">
      <c r="A25"/>
      <c r="J25"/>
      <c r="K25"/>
    </row>
    <row r="26" spans="1:11" ht="18" customHeight="1">
      <c r="A26"/>
      <c r="J26"/>
      <c r="K26"/>
    </row>
    <row r="27" spans="1:11" ht="18" customHeight="1">
      <c r="I27"/>
      <c r="J27"/>
    </row>
    <row r="28" spans="1:11" ht="18" customHeight="1">
      <c r="I28"/>
      <c r="J28"/>
    </row>
    <row r="29" spans="1:11" ht="18" customHeight="1">
      <c r="J29"/>
    </row>
    <row r="30" spans="1:11" ht="18" customHeight="1"/>
    <row r="31" spans="1:11">
      <c r="A31"/>
      <c r="B31"/>
      <c r="C31"/>
      <c r="D31"/>
      <c r="E31"/>
      <c r="F31"/>
      <c r="G31"/>
      <c r="H31"/>
      <c r="I31"/>
    </row>
    <row r="32" spans="1:11" ht="65" customHeight="1">
      <c r="A32"/>
      <c r="B32"/>
      <c r="C32"/>
      <c r="D32"/>
      <c r="E32"/>
      <c r="F32"/>
      <c r="G32"/>
      <c r="H32"/>
      <c r="I32"/>
    </row>
    <row r="33" spans="1:11" ht="30.75" customHeight="1">
      <c r="A33"/>
      <c r="B33" s="38" t="s">
        <v>296</v>
      </c>
      <c r="C33" s="35"/>
      <c r="D33" s="35"/>
      <c r="E33" s="34"/>
      <c r="F33" s="34"/>
      <c r="G33" s="34"/>
      <c r="H33" s="34"/>
      <c r="I33" s="34"/>
      <c r="J33" s="34"/>
      <c r="K33"/>
    </row>
    <row r="34" spans="1:11" ht="19" customHeight="1">
      <c r="A34"/>
      <c r="B34" s="35"/>
      <c r="C34" s="52"/>
      <c r="D34" s="35"/>
      <c r="E34"/>
      <c r="F34"/>
      <c r="G34"/>
      <c r="H34"/>
      <c r="I34"/>
      <c r="J34"/>
      <c r="K34"/>
    </row>
    <row r="35" spans="1:11" ht="24" customHeight="1">
      <c r="A35"/>
      <c r="B35" s="291" t="s">
        <v>189</v>
      </c>
      <c r="C35" s="291"/>
      <c r="D35" s="98">
        <f>SUM(tbl_VMTred[Petroleum Reduction (GGE/year)])</f>
        <v>0</v>
      </c>
      <c r="E35" s="35" t="s">
        <v>52</v>
      </c>
      <c r="F35"/>
      <c r="G35"/>
      <c r="H35"/>
      <c r="I35"/>
      <c r="J35"/>
      <c r="K35"/>
    </row>
    <row r="36" spans="1:11" ht="19" customHeight="1">
      <c r="A36"/>
      <c r="B36" s="35"/>
      <c r="C36"/>
      <c r="D36" s="35"/>
      <c r="E36"/>
      <c r="F36"/>
      <c r="G36"/>
      <c r="H36"/>
      <c r="I36"/>
      <c r="J36"/>
      <c r="K36"/>
    </row>
    <row r="37" spans="1:11" ht="19" customHeight="1">
      <c r="A37"/>
      <c r="B37" s="290" t="s">
        <v>422</v>
      </c>
      <c r="C37" s="290"/>
      <c r="D37" s="290"/>
      <c r="E37" s="290"/>
      <c r="F37" s="290"/>
      <c r="G37" s="290"/>
      <c r="H37" s="290"/>
      <c r="I37"/>
      <c r="J37"/>
      <c r="K37"/>
    </row>
    <row r="38" spans="1:11" ht="32.25" customHeight="1" thickBot="1">
      <c r="A38"/>
      <c r="B38" s="290"/>
      <c r="C38" s="290"/>
      <c r="D38" s="290"/>
      <c r="E38" s="290"/>
      <c r="F38" s="290"/>
      <c r="G38" s="290"/>
      <c r="H38" s="290"/>
      <c r="I38"/>
      <c r="J38"/>
      <c r="K38"/>
    </row>
    <row r="39" spans="1:11" ht="20" thickBot="1">
      <c r="A39"/>
      <c r="B39" s="60" t="s">
        <v>188</v>
      </c>
      <c r="C39" s="62"/>
      <c r="D39" s="62"/>
      <c r="E39" s="62"/>
      <c r="F39" s="63"/>
      <c r="G39" s="63"/>
      <c r="H39" s="64"/>
      <c r="I39"/>
      <c r="J39"/>
      <c r="K39"/>
    </row>
    <row r="40" spans="1:11" ht="78" customHeight="1">
      <c r="A40"/>
      <c r="B40" s="40" t="s">
        <v>400</v>
      </c>
      <c r="C40" s="39" t="s">
        <v>399</v>
      </c>
      <c r="D40" s="39" t="s">
        <v>379</v>
      </c>
      <c r="E40" s="39" t="s">
        <v>401</v>
      </c>
      <c r="F40" s="39" t="s">
        <v>402</v>
      </c>
      <c r="G40" s="41" t="s">
        <v>403</v>
      </c>
      <c r="H40" s="42" t="s">
        <v>255</v>
      </c>
    </row>
    <row r="41" spans="1:11" ht="17">
      <c r="A41"/>
      <c r="B41" s="138"/>
      <c r="C41" s="125"/>
      <c r="D41" s="136"/>
      <c r="E41" s="137"/>
      <c r="F41" s="137"/>
      <c r="G41" s="136"/>
      <c r="H41" s="185" t="str">
        <f>IFERROR(IF(tbl_VMTred[[#This Row],[Vehicle Type (select from list)]]="","",tbl_VMTred[[#This Row],[Number of Vehicles]]*(tbl_VMTred[[#This Row],[Average Previous VMT of Vehicles (miles/year/vehicle)]]-tbl_VMTred[[#This Row],[Average New VMT of Vehicles (miles/year/vehicle)]])/tbl_VMTred[[#This Row],[Fuel Economy of Vehicle (miles/GGE)]]),0)</f>
        <v/>
      </c>
    </row>
    <row r="42" spans="1:11" ht="17">
      <c r="A42"/>
      <c r="B42" s="139"/>
      <c r="C42" s="139"/>
      <c r="D42" s="133"/>
      <c r="E42" s="134"/>
      <c r="F42" s="134"/>
      <c r="G42" s="133"/>
      <c r="H42" s="185" t="str">
        <f>IFERROR(IF(tbl_VMTred[[#This Row],[Vehicle Type (select from list)]]="","",tbl_VMTred[[#This Row],[Number of Vehicles]]*(tbl_VMTred[[#This Row],[Average Previous VMT of Vehicles (miles/year/vehicle)]]-tbl_VMTred[[#This Row],[Average New VMT of Vehicles (miles/year/vehicle)]])/tbl_VMTred[[#This Row],[Fuel Economy of Vehicle (miles/GGE)]]),0)</f>
        <v/>
      </c>
    </row>
    <row r="43" spans="1:11" ht="17">
      <c r="B43" s="139"/>
      <c r="C43" s="139"/>
      <c r="D43" s="133"/>
      <c r="E43" s="134"/>
      <c r="F43" s="134"/>
      <c r="G43" s="133"/>
      <c r="H43" s="185" t="str">
        <f>IFERROR(IF(tbl_VMTred[[#This Row],[Vehicle Type (select from list)]]="","",tbl_VMTred[[#This Row],[Number of Vehicles]]*(tbl_VMTred[[#This Row],[Average Previous VMT of Vehicles (miles/year/vehicle)]]-tbl_VMTred[[#This Row],[Average New VMT of Vehicles (miles/year/vehicle)]])/tbl_VMTred[[#This Row],[Fuel Economy of Vehicle (miles/GGE)]]),0)</f>
        <v/>
      </c>
    </row>
    <row r="44" spans="1:11" ht="17">
      <c r="B44" s="139"/>
      <c r="C44" s="139"/>
      <c r="D44" s="133"/>
      <c r="E44" s="134"/>
      <c r="F44" s="134"/>
      <c r="G44" s="133"/>
      <c r="H44" s="185" t="str">
        <f>IFERROR(IF(tbl_VMTred[[#This Row],[Vehicle Type (select from list)]]="","",tbl_VMTred[[#This Row],[Number of Vehicles]]*(tbl_VMTred[[#This Row],[Average Previous VMT of Vehicles (miles/year/vehicle)]]-tbl_VMTred[[#This Row],[Average New VMT of Vehicles (miles/year/vehicle)]])/tbl_VMTred[[#This Row],[Fuel Economy of Vehicle (miles/GGE)]]),0)</f>
        <v/>
      </c>
    </row>
    <row r="45" spans="1:11" ht="17">
      <c r="B45" s="140"/>
      <c r="C45" s="140"/>
      <c r="D45" s="54"/>
      <c r="E45" s="135"/>
      <c r="F45" s="135"/>
      <c r="G45" s="54"/>
      <c r="H45" s="185" t="str">
        <f>IFERROR(IF(tbl_VMTred[[#This Row],[Vehicle Type (select from list)]]="","",tbl_VMTred[[#This Row],[Number of Vehicles]]*(tbl_VMTred[[#This Row],[Average Previous VMT of Vehicles (miles/year/vehicle)]]-tbl_VMTred[[#This Row],[Average New VMT of Vehicles (miles/year/vehicle)]])/tbl_VMTred[[#This Row],[Fuel Economy of Vehicle (miles/GGE)]]),0)</f>
        <v/>
      </c>
    </row>
  </sheetData>
  <sheetProtection formatColumns="0" formatRows="0"/>
  <mergeCells count="20">
    <mergeCell ref="D10:E10"/>
    <mergeCell ref="B11:C11"/>
    <mergeCell ref="D11:E11"/>
    <mergeCell ref="B35:C35"/>
    <mergeCell ref="B37:H38"/>
    <mergeCell ref="B10:C10"/>
    <mergeCell ref="B3:C3"/>
    <mergeCell ref="D3:E3"/>
    <mergeCell ref="B4:C4"/>
    <mergeCell ref="D4:E4"/>
    <mergeCell ref="B5:C5"/>
    <mergeCell ref="D5:E5"/>
    <mergeCell ref="B9:C9"/>
    <mergeCell ref="D9:E9"/>
    <mergeCell ref="B6:C6"/>
    <mergeCell ref="D6:E6"/>
    <mergeCell ref="B7:C7"/>
    <mergeCell ref="D7:E7"/>
    <mergeCell ref="B8:C8"/>
    <mergeCell ref="D8:E8"/>
  </mergeCells>
  <dataValidations count="6">
    <dataValidation allowBlank="1" showInputMessage="1" showErrorMessage="1" prompt="To add a new row, start typing in the cell below the last entry in this column. A new row will be added automatically." sqref="C40" xr:uid="{00000000-0002-0000-0500-000000000000}"/>
    <dataValidation allowBlank="1" showInputMessage="1" showErrorMessage="1" prompt="Enter the number of vehicles" sqref="D41:D45" xr:uid="{00000000-0002-0000-0500-000001000000}"/>
    <dataValidation type="list" allowBlank="1" showInputMessage="1" showErrorMessage="1" prompt="Select from dropdown list" sqref="B41:B45" xr:uid="{00000000-0002-0000-0500-000002000000}">
      <formula1>Conv_Fuels_List</formula1>
    </dataValidation>
    <dataValidation allowBlank="1" showInputMessage="1" showErrorMessage="1" promptTitle="Enter a value" prompt="Enter the average new reduced miles traveled per vehicle per year." sqref="F41:F45" xr:uid="{00000000-0002-0000-0500-000003000000}"/>
    <dataValidation allowBlank="1" showInputMessage="1" showErrorMessage="1" promptTitle="Enter a value" prompt="Enter the average miles traveled per year per vehicle" sqref="E41:E45" xr:uid="{00000000-0002-0000-0500-000004000000}"/>
    <dataValidation type="list" allowBlank="1" showInputMessage="1" showErrorMessage="1" sqref="C41:C45" xr:uid="{00000000-0002-0000-0500-000005000000}">
      <formula1>VMT_vehicle_type</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P47"/>
  <sheetViews>
    <sheetView showGridLines="0" topLeftCell="A9" zoomScale="80" zoomScaleNormal="80" zoomScalePageLayoutView="80" workbookViewId="0">
      <selection activeCell="D51" sqref="D51"/>
    </sheetView>
  </sheetViews>
  <sheetFormatPr baseColWidth="10" defaultColWidth="8.83203125" defaultRowHeight="16"/>
  <cols>
    <col min="1" max="1" width="8.83203125" style="1"/>
    <col min="2" max="2" width="19.5" style="1" customWidth="1"/>
    <col min="3" max="11" width="19.33203125" style="1" customWidth="1"/>
    <col min="12" max="16384" width="8.83203125" style="1"/>
  </cols>
  <sheetData>
    <row r="1" spans="1:11" ht="18" customHeight="1">
      <c r="A1"/>
      <c r="B1"/>
      <c r="C1"/>
      <c r="D1"/>
      <c r="E1"/>
      <c r="F1"/>
      <c r="G1"/>
      <c r="H1"/>
      <c r="I1"/>
      <c r="J1"/>
      <c r="K1"/>
    </row>
    <row r="2" spans="1:11" ht="18" customHeight="1">
      <c r="A2"/>
      <c r="B2"/>
      <c r="C2"/>
      <c r="D2"/>
      <c r="E2"/>
      <c r="F2"/>
      <c r="G2"/>
      <c r="H2"/>
      <c r="I2"/>
      <c r="J2"/>
      <c r="K2"/>
    </row>
    <row r="3" spans="1:11" ht="18" customHeight="1" thickBot="1">
      <c r="A3"/>
      <c r="B3" s="237" t="s">
        <v>358</v>
      </c>
      <c r="C3" s="237"/>
      <c r="D3" s="237" t="s">
        <v>359</v>
      </c>
      <c r="E3" s="237"/>
      <c r="F3" s="165"/>
      <c r="G3" s="165"/>
      <c r="H3" s="165"/>
      <c r="I3" s="165"/>
      <c r="J3"/>
      <c r="K3"/>
    </row>
    <row r="4" spans="1:11" ht="18" customHeight="1" thickTop="1">
      <c r="A4"/>
      <c r="B4" s="238" t="s">
        <v>360</v>
      </c>
      <c r="C4" s="238"/>
      <c r="D4" s="241">
        <f>Alt_Fuel_GGE</f>
        <v>0</v>
      </c>
      <c r="E4" s="241"/>
      <c r="F4" s="165"/>
      <c r="G4" s="165"/>
      <c r="H4" s="165"/>
      <c r="I4" s="165"/>
      <c r="J4"/>
      <c r="K4"/>
    </row>
    <row r="5" spans="1:11" ht="18" customHeight="1">
      <c r="A5"/>
      <c r="B5" s="239" t="s">
        <v>367</v>
      </c>
      <c r="C5" s="239"/>
      <c r="D5" s="235">
        <f>PHEV_GGE</f>
        <v>0</v>
      </c>
      <c r="E5" s="235"/>
      <c r="F5" s="165"/>
      <c r="G5" s="165"/>
      <c r="H5" s="165"/>
      <c r="I5" s="165"/>
      <c r="J5"/>
      <c r="K5"/>
    </row>
    <row r="6" spans="1:11" ht="18" customHeight="1">
      <c r="A6"/>
      <c r="B6" s="239" t="s">
        <v>361</v>
      </c>
      <c r="C6" s="239"/>
      <c r="D6" s="235">
        <f>Biodiesel_GGE</f>
        <v>0</v>
      </c>
      <c r="E6" s="235"/>
      <c r="F6" s="165"/>
      <c r="G6" s="165"/>
      <c r="H6" s="165"/>
      <c r="I6" s="165"/>
      <c r="J6"/>
      <c r="K6"/>
    </row>
    <row r="7" spans="1:11" ht="18" customHeight="1">
      <c r="A7"/>
      <c r="B7" s="239" t="s">
        <v>362</v>
      </c>
      <c r="C7" s="239"/>
      <c r="D7" s="235">
        <f>Replace_vehicles_GGE</f>
        <v>0</v>
      </c>
      <c r="E7" s="235"/>
      <c r="F7" s="165"/>
      <c r="G7" s="165"/>
      <c r="H7" s="165"/>
      <c r="I7" s="165"/>
      <c r="J7"/>
      <c r="K7"/>
    </row>
    <row r="8" spans="1:11" ht="18" customHeight="1">
      <c r="A8"/>
      <c r="B8" s="239" t="s">
        <v>363</v>
      </c>
      <c r="C8" s="239"/>
      <c r="D8" s="235">
        <f>VMT_GGE</f>
        <v>0</v>
      </c>
      <c r="E8" s="235"/>
      <c r="F8" s="165"/>
      <c r="G8" s="165"/>
      <c r="H8" s="165"/>
      <c r="I8" s="165"/>
      <c r="J8"/>
      <c r="K8"/>
    </row>
    <row r="9" spans="1:11" ht="18" customHeight="1">
      <c r="A9"/>
      <c r="B9" s="239" t="s">
        <v>364</v>
      </c>
      <c r="C9" s="239"/>
      <c r="D9" s="235">
        <f>TruckStopIR_GGE</f>
        <v>0</v>
      </c>
      <c r="E9" s="235"/>
      <c r="F9" s="165"/>
      <c r="G9" s="165"/>
      <c r="H9" s="165"/>
      <c r="I9" s="165"/>
      <c r="J9"/>
      <c r="K9"/>
    </row>
    <row r="10" spans="1:11" ht="18" customHeight="1">
      <c r="A10"/>
      <c r="B10" s="239" t="s">
        <v>365</v>
      </c>
      <c r="C10" s="239"/>
      <c r="D10" s="235">
        <f>VehicleIR_GGE</f>
        <v>0</v>
      </c>
      <c r="E10" s="235"/>
      <c r="F10" s="165"/>
      <c r="G10" s="165"/>
      <c r="H10" s="165"/>
      <c r="I10" s="165"/>
      <c r="J10"/>
      <c r="K10"/>
    </row>
    <row r="11" spans="1:11" ht="18" customHeight="1" thickBot="1">
      <c r="A11"/>
      <c r="B11" s="240" t="s">
        <v>366</v>
      </c>
      <c r="C11" s="240"/>
      <c r="D11" s="236">
        <f>OnboardIR_GGE</f>
        <v>0</v>
      </c>
      <c r="E11" s="236"/>
      <c r="F11" s="165"/>
      <c r="G11" s="165"/>
      <c r="H11" s="165"/>
      <c r="I11" s="165"/>
      <c r="J11"/>
      <c r="K11"/>
    </row>
    <row r="12" spans="1:11" ht="18" customHeight="1">
      <c r="A12"/>
      <c r="B12" s="165"/>
      <c r="C12" s="165"/>
      <c r="D12" s="165"/>
      <c r="E12" s="165"/>
      <c r="F12" s="165"/>
      <c r="G12" s="165"/>
      <c r="H12" s="165"/>
      <c r="I12" s="165"/>
      <c r="J12"/>
      <c r="K12"/>
    </row>
    <row r="13" spans="1:11" ht="18" customHeight="1">
      <c r="A13"/>
      <c r="B13" s="165"/>
      <c r="C13" s="165"/>
      <c r="D13" s="165"/>
      <c r="E13" s="165"/>
      <c r="F13" s="165"/>
      <c r="G13" s="165"/>
      <c r="H13" s="165"/>
      <c r="I13" s="165"/>
      <c r="J13"/>
      <c r="K13"/>
    </row>
    <row r="14" spans="1:11" ht="18" customHeight="1">
      <c r="A14"/>
      <c r="B14" s="165"/>
      <c r="C14" s="165"/>
      <c r="D14" s="165"/>
      <c r="E14" s="165"/>
      <c r="F14" s="165"/>
      <c r="G14" s="165"/>
      <c r="H14" s="165"/>
      <c r="I14" s="165"/>
      <c r="J14"/>
      <c r="K14"/>
    </row>
    <row r="15" spans="1:11" ht="18" customHeight="1">
      <c r="A15"/>
      <c r="B15" s="165"/>
      <c r="C15" s="165"/>
      <c r="D15" s="165"/>
      <c r="E15" s="165"/>
      <c r="F15" s="165"/>
      <c r="G15" s="165"/>
      <c r="H15" s="165"/>
      <c r="I15" s="165"/>
      <c r="J15"/>
      <c r="K15"/>
    </row>
    <row r="16" spans="1:11" ht="18" customHeight="1">
      <c r="A16"/>
      <c r="B16" s="165"/>
      <c r="C16" s="165"/>
      <c r="D16" s="165"/>
      <c r="E16" s="165"/>
      <c r="F16" s="165"/>
      <c r="G16" s="165"/>
      <c r="H16" s="165"/>
      <c r="I16" s="165"/>
      <c r="J16"/>
      <c r="K16"/>
    </row>
    <row r="17" spans="1:11" ht="18" customHeight="1">
      <c r="A17"/>
      <c r="B17" s="165"/>
      <c r="C17" s="165"/>
      <c r="D17" s="165"/>
      <c r="E17" s="165"/>
      <c r="F17" s="165"/>
      <c r="G17" s="165"/>
      <c r="H17" s="165"/>
      <c r="I17" s="165"/>
      <c r="J17"/>
      <c r="K17"/>
    </row>
    <row r="18" spans="1:11" ht="18" customHeight="1">
      <c r="A18"/>
      <c r="B18" s="165"/>
      <c r="C18" s="165"/>
      <c r="D18" s="165"/>
      <c r="E18" s="165"/>
      <c r="F18" s="165"/>
      <c r="G18" s="165"/>
      <c r="H18" s="165"/>
      <c r="I18" s="165"/>
      <c r="J18"/>
      <c r="K18"/>
    </row>
    <row r="19" spans="1:11" ht="18" customHeight="1">
      <c r="A19"/>
      <c r="B19" s="165"/>
      <c r="C19" s="165"/>
      <c r="D19" s="165"/>
      <c r="E19" s="165"/>
      <c r="F19" s="165"/>
      <c r="G19" s="165"/>
      <c r="H19" s="165"/>
      <c r="I19" s="165"/>
      <c r="J19"/>
      <c r="K19"/>
    </row>
    <row r="20" spans="1:11" ht="18" customHeight="1">
      <c r="A20"/>
      <c r="B20" s="165"/>
      <c r="C20" s="165"/>
      <c r="D20" s="165"/>
      <c r="E20" s="165"/>
      <c r="F20" s="165"/>
      <c r="G20" s="165"/>
      <c r="H20" s="165"/>
      <c r="I20" s="165"/>
      <c r="J20"/>
      <c r="K20"/>
    </row>
    <row r="21" spans="1:11" ht="18" customHeight="1">
      <c r="A21"/>
      <c r="B21" s="165"/>
      <c r="C21" s="165"/>
      <c r="D21" s="165"/>
      <c r="E21" s="165"/>
      <c r="F21" s="165"/>
      <c r="G21" s="165"/>
      <c r="H21" s="165"/>
      <c r="I21" s="165"/>
      <c r="J21"/>
      <c r="K21"/>
    </row>
    <row r="22" spans="1:11" ht="18" customHeight="1">
      <c r="A22"/>
      <c r="B22" s="165"/>
      <c r="C22" s="165"/>
      <c r="D22" s="165"/>
      <c r="E22" s="165"/>
      <c r="F22" s="165"/>
      <c r="G22" s="165"/>
      <c r="H22" s="165"/>
      <c r="I22" s="165"/>
      <c r="J22"/>
      <c r="K22"/>
    </row>
    <row r="23" spans="1:11" ht="18" customHeight="1">
      <c r="A23"/>
      <c r="J23"/>
      <c r="K23"/>
    </row>
    <row r="24" spans="1:11" ht="18" customHeight="1">
      <c r="A24"/>
      <c r="J24"/>
      <c r="K24"/>
    </row>
    <row r="25" spans="1:11" ht="18" customHeight="1">
      <c r="A25"/>
      <c r="J25"/>
      <c r="K25"/>
    </row>
    <row r="26" spans="1:11" ht="18" customHeight="1">
      <c r="A26"/>
      <c r="J26"/>
      <c r="K26"/>
    </row>
    <row r="27" spans="1:11" ht="18" customHeight="1">
      <c r="I27"/>
      <c r="J27"/>
    </row>
    <row r="28" spans="1:11" ht="18" customHeight="1">
      <c r="I28"/>
      <c r="J28"/>
    </row>
    <row r="29" spans="1:11" ht="18" customHeight="1"/>
    <row r="31" spans="1:11">
      <c r="A31"/>
      <c r="B31"/>
      <c r="C31"/>
      <c r="D31"/>
      <c r="E31"/>
      <c r="F31"/>
      <c r="G31"/>
      <c r="H31"/>
      <c r="I31"/>
    </row>
    <row r="32" spans="1:11" ht="65" customHeight="1">
      <c r="A32"/>
      <c r="B32"/>
      <c r="C32"/>
      <c r="D32"/>
      <c r="E32"/>
      <c r="F32"/>
      <c r="G32"/>
      <c r="H32"/>
      <c r="I32"/>
    </row>
    <row r="33" spans="1:16" ht="30.75" customHeight="1">
      <c r="A33"/>
      <c r="B33" s="38" t="s">
        <v>408</v>
      </c>
      <c r="C33" s="35"/>
      <c r="D33" s="35"/>
      <c r="E33" s="34"/>
      <c r="F33" s="34"/>
      <c r="G33" s="34"/>
      <c r="H33" s="34"/>
      <c r="I33" s="34"/>
      <c r="J33" s="34"/>
      <c r="K33"/>
      <c r="L33"/>
      <c r="M33"/>
      <c r="N33"/>
      <c r="O33"/>
      <c r="P33" s="34"/>
    </row>
    <row r="34" spans="1:16" ht="19" customHeight="1">
      <c r="A34"/>
      <c r="B34" s="297" t="s">
        <v>348</v>
      </c>
      <c r="C34" s="297"/>
      <c r="D34" s="297"/>
      <c r="E34" s="297"/>
      <c r="F34" s="297"/>
      <c r="G34" s="297"/>
      <c r="H34" s="105"/>
      <c r="I34" s="105"/>
      <c r="J34" s="105"/>
      <c r="K34" s="105"/>
      <c r="L34" s="105"/>
      <c r="M34" s="105"/>
      <c r="N34" s="105"/>
      <c r="O34" s="105"/>
      <c r="P34" s="105"/>
    </row>
    <row r="35" spans="1:16" ht="19" customHeight="1">
      <c r="A35"/>
      <c r="B35" s="105"/>
      <c r="C35" s="105"/>
      <c r="D35" s="105"/>
      <c r="E35" s="105"/>
      <c r="F35" s="105"/>
      <c r="G35" s="105"/>
      <c r="H35" s="105"/>
      <c r="I35" s="105"/>
      <c r="J35" s="105"/>
      <c r="K35" s="105"/>
      <c r="L35" s="105"/>
      <c r="M35" s="105"/>
      <c r="N35" s="105"/>
      <c r="O35" s="105"/>
      <c r="P35" s="105"/>
    </row>
    <row r="36" spans="1:16" ht="21" customHeight="1">
      <c r="A36"/>
      <c r="B36" s="35" t="s">
        <v>189</v>
      </c>
      <c r="C36"/>
      <c r="D36" s="166">
        <f>SUM(tbl_TrkStop_Electrification[Petroleum Reduction (GGE/year)])</f>
        <v>0</v>
      </c>
      <c r="E36" s="35" t="s">
        <v>52</v>
      </c>
      <c r="F36"/>
      <c r="G36"/>
      <c r="H36"/>
      <c r="I36"/>
      <c r="J36"/>
      <c r="K36"/>
      <c r="L36"/>
      <c r="M36"/>
      <c r="N36"/>
      <c r="O36"/>
      <c r="P36"/>
    </row>
    <row r="37" spans="1:16" customFormat="1" ht="21" customHeight="1"/>
    <row r="38" spans="1:16" customFormat="1" ht="21" customHeight="1">
      <c r="B38" s="290" t="s">
        <v>423</v>
      </c>
      <c r="C38" s="290"/>
      <c r="D38" s="290"/>
      <c r="E38" s="290"/>
      <c r="F38" s="290"/>
      <c r="G38" s="290"/>
    </row>
    <row r="39" spans="1:16">
      <c r="A39"/>
      <c r="B39" s="290"/>
      <c r="C39" s="290"/>
      <c r="D39" s="290"/>
      <c r="E39" s="290"/>
      <c r="F39" s="290"/>
      <c r="G39" s="290"/>
      <c r="H39"/>
      <c r="I39"/>
    </row>
    <row r="40" spans="1:16" customFormat="1" ht="17" thickBot="1">
      <c r="B40" s="298"/>
      <c r="C40" s="298"/>
      <c r="D40" s="298"/>
      <c r="E40" s="298"/>
      <c r="F40" s="298"/>
      <c r="G40" s="298"/>
    </row>
    <row r="41" spans="1:16" ht="18.75" customHeight="1">
      <c r="A41"/>
      <c r="B41" s="59" t="s">
        <v>259</v>
      </c>
      <c r="C41" s="65"/>
      <c r="D41" s="65"/>
      <c r="E41" s="65"/>
      <c r="F41" s="65"/>
      <c r="G41" s="66"/>
      <c r="H41"/>
      <c r="I41"/>
    </row>
    <row r="42" spans="1:16">
      <c r="A42"/>
      <c r="B42" s="292" t="s">
        <v>256</v>
      </c>
      <c r="C42" s="248"/>
      <c r="D42" s="248"/>
      <c r="E42" s="248"/>
      <c r="F42" s="248"/>
      <c r="G42" s="293"/>
      <c r="H42"/>
      <c r="I42"/>
    </row>
    <row r="43" spans="1:16" ht="17" thickBot="1">
      <c r="A43"/>
      <c r="B43" s="294"/>
      <c r="C43" s="295"/>
      <c r="D43" s="295"/>
      <c r="E43" s="295"/>
      <c r="F43" s="295"/>
      <c r="G43" s="296"/>
      <c r="H43"/>
      <c r="I43"/>
    </row>
    <row r="44" spans="1:16" ht="45" customHeight="1">
      <c r="B44" s="47" t="s">
        <v>404</v>
      </c>
      <c r="C44" s="48" t="s">
        <v>405</v>
      </c>
      <c r="D44" s="48" t="s">
        <v>406</v>
      </c>
      <c r="E44" s="48" t="s">
        <v>407</v>
      </c>
      <c r="F44" s="48" t="s">
        <v>66</v>
      </c>
      <c r="G44" s="49" t="s">
        <v>255</v>
      </c>
    </row>
    <row r="45" spans="1:16">
      <c r="B45" s="53"/>
      <c r="C45" s="140"/>
      <c r="D45" s="140"/>
      <c r="E45" s="140"/>
      <c r="F45" s="99" t="str">
        <f>IF(tbl_TrkStop_Electrification[[#This Row],[Truck Fuel Type]]="","",VLOOKUP(tbl_TrkStop_Electrification[[#This Row],[Truck Fuel Type]],Tbl_Fuel_Conversions,3,FALSE))</f>
        <v/>
      </c>
      <c r="G45" s="100" t="str">
        <f>IFERROR(IF(tbl_TrkStop_Electrification[[#This Row],[Truck Stop Number of Bays]]="","",tbl_TrkStop_Electrification[[#This Row],[Truck Stop Number of Bays]]*tbl_TrkStop_Electrification[[#This Row],[Hours/year Each Bay is used]]*tbl_TrkStop_Electrification[[#This Row],[Idle Fuel Use (gal/h/vehicle)]]*tbl_TrkStop_Electrification[[#This Row],[GGE Conversion Factor]]),0)</f>
        <v/>
      </c>
    </row>
    <row r="46" spans="1:16" ht="17">
      <c r="B46" s="192"/>
      <c r="C46" s="193"/>
      <c r="D46" s="193"/>
      <c r="E46" s="193"/>
      <c r="F46" s="194" t="str">
        <f>IF(tbl_TrkStop_Electrification[[#This Row],[Truck Fuel Type]]="","",VLOOKUP(tbl_TrkStop_Electrification[[#This Row],[Truck Fuel Type]],Tbl_Fuel_Conversions,3,FALSE))</f>
        <v/>
      </c>
      <c r="G46" s="195" t="str">
        <f>IFERROR(IF(tbl_TrkStop_Electrification[[#This Row],[Truck Stop Number of Bays]]="","",tbl_TrkStop_Electrification[[#This Row],[Truck Stop Number of Bays]]*tbl_TrkStop_Electrification[[#This Row],[Hours/year Each Bay is used]]*tbl_TrkStop_Electrification[[#This Row],[Idle Fuel Use (gal/h/vehicle)]]*tbl_TrkStop_Electrification[[#This Row],[GGE Conversion Factor]]),0)</f>
        <v/>
      </c>
    </row>
    <row r="47" spans="1:16">
      <c r="B47" s="87"/>
      <c r="C47" s="87"/>
      <c r="D47" s="87"/>
      <c r="E47" s="87"/>
      <c r="F47" s="87"/>
    </row>
  </sheetData>
  <sheetProtection formatColumns="0" formatRows="0"/>
  <mergeCells count="21">
    <mergeCell ref="B42:G43"/>
    <mergeCell ref="B34:G34"/>
    <mergeCell ref="B38:G40"/>
    <mergeCell ref="B3:C3"/>
    <mergeCell ref="D3:E3"/>
    <mergeCell ref="B4:C4"/>
    <mergeCell ref="D4:E4"/>
    <mergeCell ref="B5:C5"/>
    <mergeCell ref="D5:E5"/>
    <mergeCell ref="B6:C6"/>
    <mergeCell ref="D6:E6"/>
    <mergeCell ref="B7:C7"/>
    <mergeCell ref="D7:E7"/>
    <mergeCell ref="B11:C11"/>
    <mergeCell ref="D11:E11"/>
    <mergeCell ref="B8:C8"/>
    <mergeCell ref="D8:E8"/>
    <mergeCell ref="B9:C9"/>
    <mergeCell ref="D9:E9"/>
    <mergeCell ref="B10:C10"/>
    <mergeCell ref="D10:E10"/>
  </mergeCells>
  <dataValidations count="4">
    <dataValidation allowBlank="1" showInputMessage="1" showErrorMessage="1" prompt="To add a new row, start typing in the cell below the last entry in this column. A new row will be added automatically. Add sheet rows above row 31 if you need more space." sqref="B44" xr:uid="{00000000-0002-0000-0600-000000000000}"/>
    <dataValidation type="list" allowBlank="1" showInputMessage="1" showErrorMessage="1" sqref="C45:C46" xr:uid="{00000000-0002-0000-0600-000001000000}">
      <formula1>TrkStop_hours</formula1>
    </dataValidation>
    <dataValidation type="list" allowBlank="1" showInputMessage="1" showErrorMessage="1" sqref="E45:E46" xr:uid="{00000000-0002-0000-0600-000002000000}">
      <formula1>TrkStop_idle_fuel</formula1>
    </dataValidation>
    <dataValidation type="list" allowBlank="1" showInputMessage="1" showErrorMessage="1" sqref="D45:D46" xr:uid="{00000000-0002-0000-0600-000003000000}">
      <formula1>Conv_Fuels_List</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499984740745262"/>
  </sheetPr>
  <dimension ref="A1:Q49"/>
  <sheetViews>
    <sheetView showGridLines="0" topLeftCell="A32" zoomScale="80" zoomScaleNormal="80" zoomScalePageLayoutView="80" workbookViewId="0">
      <selection activeCell="B46" sqref="B46:H46"/>
    </sheetView>
  </sheetViews>
  <sheetFormatPr baseColWidth="10" defaultColWidth="8.83203125" defaultRowHeight="16"/>
  <cols>
    <col min="1" max="1" width="8.83203125" style="1"/>
    <col min="2" max="2" width="19.5" style="1" customWidth="1"/>
    <col min="3" max="10" width="19.33203125" style="1" customWidth="1"/>
    <col min="11" max="11" width="16.33203125" style="1" customWidth="1"/>
    <col min="12" max="12" width="12.6640625" style="1" customWidth="1"/>
    <col min="13" max="13" width="8.83203125" style="1" customWidth="1"/>
    <col min="14" max="16384" width="8.83203125" style="1"/>
  </cols>
  <sheetData>
    <row r="1" spans="1:17" ht="18" customHeight="1">
      <c r="A1"/>
      <c r="B1"/>
      <c r="C1"/>
      <c r="D1"/>
      <c r="E1"/>
      <c r="F1"/>
      <c r="G1"/>
      <c r="H1"/>
      <c r="I1"/>
      <c r="J1"/>
      <c r="K1"/>
      <c r="L1"/>
      <c r="M1"/>
      <c r="N1"/>
      <c r="O1"/>
      <c r="P1"/>
      <c r="Q1"/>
    </row>
    <row r="2" spans="1:17" ht="18" customHeight="1">
      <c r="A2"/>
      <c r="B2"/>
      <c r="C2"/>
      <c r="D2"/>
      <c r="E2"/>
      <c r="F2"/>
      <c r="G2"/>
      <c r="H2"/>
      <c r="I2"/>
      <c r="J2"/>
      <c r="K2"/>
      <c r="L2"/>
      <c r="M2"/>
      <c r="N2"/>
      <c r="O2"/>
      <c r="P2"/>
      <c r="Q2"/>
    </row>
    <row r="3" spans="1:17" ht="18" customHeight="1" thickBot="1">
      <c r="A3"/>
      <c r="B3" s="237" t="s">
        <v>358</v>
      </c>
      <c r="C3" s="237"/>
      <c r="D3" s="237" t="s">
        <v>359</v>
      </c>
      <c r="E3" s="237"/>
      <c r="F3" s="165"/>
      <c r="G3" s="165"/>
      <c r="H3" s="165"/>
      <c r="I3" s="165"/>
      <c r="J3"/>
      <c r="K3"/>
      <c r="L3"/>
      <c r="M3"/>
      <c r="N3"/>
      <c r="O3"/>
      <c r="P3"/>
      <c r="Q3"/>
    </row>
    <row r="4" spans="1:17" ht="18" customHeight="1" thickTop="1">
      <c r="A4"/>
      <c r="B4" s="238" t="s">
        <v>360</v>
      </c>
      <c r="C4" s="238"/>
      <c r="D4" s="241">
        <f>Alt_Fuel_GGE</f>
        <v>0</v>
      </c>
      <c r="E4" s="241"/>
      <c r="F4" s="165"/>
      <c r="G4" s="165"/>
      <c r="H4" s="165"/>
      <c r="I4" s="165"/>
      <c r="J4"/>
      <c r="K4"/>
      <c r="L4"/>
      <c r="M4"/>
      <c r="N4"/>
      <c r="O4"/>
      <c r="P4"/>
      <c r="Q4"/>
    </row>
    <row r="5" spans="1:17" ht="18" customHeight="1">
      <c r="A5"/>
      <c r="B5" s="239" t="s">
        <v>367</v>
      </c>
      <c r="C5" s="239"/>
      <c r="D5" s="235">
        <f>PHEV_GGE</f>
        <v>0</v>
      </c>
      <c r="E5" s="235"/>
      <c r="F5" s="165"/>
      <c r="G5" s="165"/>
      <c r="H5" s="165"/>
      <c r="I5" s="165"/>
      <c r="J5"/>
      <c r="K5"/>
      <c r="L5"/>
      <c r="M5"/>
      <c r="N5"/>
      <c r="O5"/>
      <c r="P5"/>
      <c r="Q5"/>
    </row>
    <row r="6" spans="1:17" ht="18" customHeight="1">
      <c r="A6"/>
      <c r="B6" s="239" t="s">
        <v>361</v>
      </c>
      <c r="C6" s="239"/>
      <c r="D6" s="235">
        <f>Biodiesel_GGE</f>
        <v>0</v>
      </c>
      <c r="E6" s="235"/>
      <c r="F6" s="165"/>
      <c r="G6" s="165"/>
      <c r="H6" s="165"/>
      <c r="I6" s="165"/>
      <c r="J6"/>
      <c r="K6"/>
      <c r="L6"/>
      <c r="M6"/>
      <c r="N6"/>
      <c r="O6"/>
      <c r="P6"/>
      <c r="Q6"/>
    </row>
    <row r="7" spans="1:17" ht="18" customHeight="1">
      <c r="A7"/>
      <c r="B7" s="239" t="s">
        <v>362</v>
      </c>
      <c r="C7" s="239"/>
      <c r="D7" s="235">
        <f>Replace_vehicles_GGE</f>
        <v>0</v>
      </c>
      <c r="E7" s="235"/>
      <c r="F7" s="165"/>
      <c r="G7" s="165"/>
      <c r="H7" s="165"/>
      <c r="I7" s="165"/>
      <c r="J7"/>
      <c r="K7"/>
      <c r="L7"/>
      <c r="M7"/>
      <c r="N7"/>
      <c r="O7"/>
      <c r="P7"/>
      <c r="Q7"/>
    </row>
    <row r="8" spans="1:17" ht="18" customHeight="1">
      <c r="A8"/>
      <c r="B8" s="239" t="s">
        <v>363</v>
      </c>
      <c r="C8" s="239"/>
      <c r="D8" s="235">
        <f>VMT_GGE</f>
        <v>0</v>
      </c>
      <c r="E8" s="235"/>
      <c r="F8" s="165"/>
      <c r="G8" s="165"/>
      <c r="H8" s="165"/>
      <c r="I8" s="165"/>
      <c r="J8"/>
      <c r="K8"/>
      <c r="L8"/>
      <c r="M8"/>
      <c r="N8"/>
      <c r="O8"/>
      <c r="P8"/>
      <c r="Q8"/>
    </row>
    <row r="9" spans="1:17" ht="18" customHeight="1">
      <c r="A9"/>
      <c r="B9" s="239" t="s">
        <v>364</v>
      </c>
      <c r="C9" s="239"/>
      <c r="D9" s="235">
        <f>TruckStopIR_GGE</f>
        <v>0</v>
      </c>
      <c r="E9" s="235"/>
      <c r="F9" s="165"/>
      <c r="G9" s="165"/>
      <c r="H9" s="165"/>
      <c r="I9" s="165"/>
      <c r="J9"/>
      <c r="K9"/>
      <c r="L9"/>
      <c r="M9"/>
      <c r="N9"/>
      <c r="O9"/>
      <c r="P9"/>
      <c r="Q9"/>
    </row>
    <row r="10" spans="1:17" ht="18" customHeight="1">
      <c r="A10"/>
      <c r="B10" s="239" t="s">
        <v>365</v>
      </c>
      <c r="C10" s="239"/>
      <c r="D10" s="235">
        <f>VehicleIR_GGE</f>
        <v>0</v>
      </c>
      <c r="E10" s="235"/>
      <c r="F10" s="165"/>
      <c r="G10" s="165"/>
      <c r="H10" s="165"/>
      <c r="I10" s="165"/>
      <c r="J10"/>
      <c r="K10"/>
      <c r="L10"/>
      <c r="M10"/>
      <c r="N10"/>
      <c r="O10"/>
      <c r="P10"/>
      <c r="Q10"/>
    </row>
    <row r="11" spans="1:17" ht="18" customHeight="1" thickBot="1">
      <c r="A11"/>
      <c r="B11" s="240" t="s">
        <v>366</v>
      </c>
      <c r="C11" s="240"/>
      <c r="D11" s="236">
        <f>OnboardIR_GGE</f>
        <v>0</v>
      </c>
      <c r="E11" s="236"/>
      <c r="F11" s="165"/>
      <c r="G11" s="165"/>
      <c r="H11" s="165"/>
      <c r="I11" s="165"/>
      <c r="J11"/>
      <c r="K11"/>
      <c r="L11"/>
      <c r="M11"/>
      <c r="N11"/>
      <c r="O11"/>
      <c r="P11"/>
      <c r="Q11"/>
    </row>
    <row r="12" spans="1:17" ht="18" customHeight="1">
      <c r="A12"/>
      <c r="B12" s="165"/>
      <c r="C12" s="165"/>
      <c r="D12" s="165"/>
      <c r="E12" s="165"/>
      <c r="F12" s="165"/>
      <c r="G12" s="165"/>
      <c r="H12" s="165"/>
      <c r="I12" s="165"/>
      <c r="J12"/>
      <c r="K12"/>
      <c r="L12"/>
      <c r="M12"/>
      <c r="N12"/>
      <c r="O12"/>
      <c r="P12"/>
      <c r="Q12"/>
    </row>
    <row r="13" spans="1:17" ht="18" customHeight="1">
      <c r="A13"/>
      <c r="B13" s="165"/>
      <c r="C13" s="165"/>
      <c r="D13" s="165"/>
      <c r="E13" s="165"/>
      <c r="F13" s="165"/>
      <c r="G13" s="165"/>
      <c r="H13" s="165"/>
      <c r="I13" s="165"/>
      <c r="J13"/>
      <c r="K13"/>
      <c r="L13"/>
      <c r="M13"/>
      <c r="N13"/>
      <c r="O13"/>
      <c r="P13"/>
      <c r="Q13"/>
    </row>
    <row r="14" spans="1:17" ht="18" customHeight="1">
      <c r="A14"/>
      <c r="B14" s="165"/>
      <c r="C14" s="165"/>
      <c r="D14" s="165"/>
      <c r="E14" s="165"/>
      <c r="F14" s="165"/>
      <c r="G14" s="165"/>
      <c r="H14" s="165"/>
      <c r="I14" s="165"/>
      <c r="J14"/>
      <c r="K14"/>
      <c r="L14"/>
      <c r="M14"/>
      <c r="N14"/>
      <c r="O14"/>
      <c r="P14"/>
      <c r="Q14"/>
    </row>
    <row r="15" spans="1:17" ht="18" customHeight="1">
      <c r="A15"/>
      <c r="B15" s="165"/>
      <c r="C15" s="165"/>
      <c r="D15" s="165"/>
      <c r="E15" s="165"/>
      <c r="F15" s="165"/>
      <c r="G15" s="165"/>
      <c r="H15" s="165"/>
      <c r="I15" s="165"/>
      <c r="J15"/>
      <c r="K15"/>
      <c r="L15"/>
      <c r="M15"/>
      <c r="N15"/>
      <c r="O15"/>
      <c r="P15"/>
      <c r="Q15"/>
    </row>
    <row r="16" spans="1:17" ht="18" customHeight="1">
      <c r="A16"/>
      <c r="B16" s="165"/>
      <c r="C16" s="165"/>
      <c r="D16" s="165"/>
      <c r="E16" s="165"/>
      <c r="F16" s="165"/>
      <c r="G16" s="165"/>
      <c r="H16" s="165"/>
      <c r="I16" s="165"/>
      <c r="J16"/>
      <c r="K16"/>
      <c r="L16"/>
      <c r="M16"/>
      <c r="N16"/>
      <c r="O16"/>
      <c r="P16"/>
      <c r="Q16"/>
    </row>
    <row r="17" spans="1:17" ht="18" customHeight="1">
      <c r="A17"/>
      <c r="B17" s="165"/>
      <c r="C17" s="165"/>
      <c r="D17" s="165"/>
      <c r="E17" s="165"/>
      <c r="F17" s="165"/>
      <c r="G17" s="165"/>
      <c r="H17" s="165"/>
      <c r="I17" s="165"/>
      <c r="J17"/>
      <c r="K17"/>
      <c r="L17"/>
      <c r="M17"/>
      <c r="N17"/>
      <c r="O17"/>
      <c r="P17"/>
      <c r="Q17"/>
    </row>
    <row r="18" spans="1:17" ht="18" customHeight="1">
      <c r="A18"/>
      <c r="B18" s="165"/>
      <c r="C18" s="165"/>
      <c r="D18" s="165"/>
      <c r="E18" s="165"/>
      <c r="F18" s="165"/>
      <c r="G18" s="165"/>
      <c r="H18" s="165"/>
      <c r="I18" s="165"/>
      <c r="J18"/>
      <c r="K18"/>
      <c r="L18"/>
      <c r="M18"/>
      <c r="N18"/>
      <c r="O18"/>
      <c r="P18"/>
      <c r="Q18"/>
    </row>
    <row r="19" spans="1:17" ht="18" customHeight="1">
      <c r="A19"/>
      <c r="B19" s="165"/>
      <c r="C19" s="165"/>
      <c r="D19" s="165"/>
      <c r="E19" s="165"/>
      <c r="F19" s="165"/>
      <c r="G19" s="165"/>
      <c r="H19" s="165"/>
      <c r="I19" s="165"/>
      <c r="J19"/>
      <c r="K19"/>
      <c r="L19"/>
      <c r="M19"/>
      <c r="N19"/>
      <c r="O19"/>
      <c r="P19"/>
      <c r="Q19"/>
    </row>
    <row r="20" spans="1:17" ht="18" customHeight="1">
      <c r="A20"/>
      <c r="B20" s="165"/>
      <c r="C20" s="165"/>
      <c r="D20" s="165"/>
      <c r="E20" s="165"/>
      <c r="F20" s="165"/>
      <c r="G20" s="165"/>
      <c r="H20" s="165"/>
      <c r="I20" s="165"/>
      <c r="J20"/>
      <c r="K20"/>
      <c r="L20"/>
      <c r="M20"/>
      <c r="N20"/>
      <c r="O20"/>
      <c r="P20"/>
      <c r="Q20"/>
    </row>
    <row r="21" spans="1:17" ht="18" customHeight="1">
      <c r="A21"/>
      <c r="B21" s="165"/>
      <c r="C21" s="165"/>
      <c r="D21" s="165"/>
      <c r="E21" s="165"/>
      <c r="F21" s="165"/>
      <c r="G21" s="165"/>
      <c r="H21" s="165"/>
      <c r="I21" s="165"/>
      <c r="J21"/>
      <c r="K21"/>
      <c r="L21"/>
      <c r="M21"/>
      <c r="N21"/>
      <c r="O21"/>
      <c r="P21"/>
      <c r="Q21"/>
    </row>
    <row r="22" spans="1:17" ht="18" customHeight="1">
      <c r="A22"/>
      <c r="B22" s="165"/>
      <c r="C22" s="165"/>
      <c r="D22" s="165"/>
      <c r="E22" s="165"/>
      <c r="F22" s="165"/>
      <c r="G22" s="165"/>
      <c r="H22" s="165"/>
      <c r="I22" s="165"/>
      <c r="J22"/>
      <c r="K22"/>
      <c r="L22"/>
      <c r="M22"/>
      <c r="N22"/>
      <c r="O22"/>
      <c r="P22"/>
      <c r="Q22"/>
    </row>
    <row r="23" spans="1:17" ht="18" customHeight="1">
      <c r="A23"/>
      <c r="J23"/>
      <c r="K23"/>
      <c r="L23"/>
      <c r="M23"/>
      <c r="N23"/>
      <c r="O23"/>
      <c r="P23"/>
      <c r="Q23"/>
    </row>
    <row r="24" spans="1:17" ht="18" customHeight="1">
      <c r="A24"/>
      <c r="J24"/>
      <c r="K24"/>
      <c r="L24"/>
      <c r="M24"/>
      <c r="N24"/>
      <c r="O24"/>
      <c r="P24"/>
      <c r="Q24"/>
    </row>
    <row r="25" spans="1:17" ht="18" customHeight="1">
      <c r="A25"/>
      <c r="J25"/>
      <c r="K25"/>
      <c r="L25"/>
      <c r="M25"/>
      <c r="N25"/>
      <c r="O25"/>
      <c r="P25"/>
      <c r="Q25"/>
    </row>
    <row r="26" spans="1:17" ht="18" customHeight="1">
      <c r="I26"/>
      <c r="J26"/>
      <c r="K26"/>
      <c r="L26"/>
      <c r="M26"/>
      <c r="N26"/>
      <c r="O26"/>
      <c r="P26"/>
    </row>
    <row r="27" spans="1:17" ht="18" customHeight="1">
      <c r="I27"/>
      <c r="J27"/>
      <c r="K27"/>
      <c r="L27"/>
      <c r="M27"/>
      <c r="N27"/>
      <c r="O27"/>
      <c r="P27"/>
    </row>
    <row r="28" spans="1:17" ht="18" customHeight="1">
      <c r="I28"/>
      <c r="J28"/>
      <c r="K28"/>
      <c r="L28"/>
      <c r="M28"/>
      <c r="N28"/>
      <c r="O28"/>
      <c r="P28"/>
    </row>
    <row r="29" spans="1:17" ht="18" customHeight="1">
      <c r="J29"/>
      <c r="K29"/>
      <c r="L29"/>
      <c r="M29"/>
      <c r="N29"/>
      <c r="O29"/>
      <c r="P29"/>
    </row>
    <row r="31" spans="1:17">
      <c r="A31"/>
      <c r="B31"/>
      <c r="C31"/>
      <c r="D31"/>
      <c r="E31"/>
      <c r="F31"/>
      <c r="G31"/>
      <c r="H31"/>
      <c r="I31"/>
    </row>
    <row r="32" spans="1:17" ht="65" customHeight="1">
      <c r="A32"/>
      <c r="B32"/>
      <c r="C32"/>
      <c r="D32"/>
      <c r="E32"/>
      <c r="F32"/>
      <c r="G32"/>
      <c r="H32"/>
      <c r="I32"/>
    </row>
    <row r="33" spans="1:16" ht="30.75" customHeight="1">
      <c r="A33"/>
      <c r="B33" s="38" t="s">
        <v>425</v>
      </c>
      <c r="C33" s="35"/>
      <c r="D33" s="35"/>
      <c r="E33" s="34"/>
      <c r="F33" s="34"/>
      <c r="G33" s="34"/>
      <c r="H33" s="34"/>
      <c r="I33" s="34"/>
      <c r="J33" s="34"/>
      <c r="K33"/>
      <c r="L33"/>
      <c r="M33"/>
      <c r="N33"/>
      <c r="O33"/>
      <c r="P33" s="34"/>
    </row>
    <row r="34" spans="1:16" ht="19" customHeight="1">
      <c r="A34"/>
      <c r="B34" s="248" t="s">
        <v>418</v>
      </c>
      <c r="C34" s="248"/>
      <c r="D34" s="248"/>
      <c r="E34" s="248"/>
      <c r="F34" s="248"/>
      <c r="G34" s="248"/>
      <c r="H34" s="248"/>
      <c r="I34" s="248"/>
      <c r="J34" s="248"/>
      <c r="K34" s="69"/>
      <c r="L34" s="69"/>
      <c r="M34" s="69"/>
      <c r="N34" s="69"/>
      <c r="O34" s="69"/>
      <c r="P34" s="69"/>
    </row>
    <row r="35" spans="1:16" ht="19" customHeight="1">
      <c r="A35"/>
      <c r="B35" s="248"/>
      <c r="C35" s="248"/>
      <c r="D35" s="248"/>
      <c r="E35" s="248"/>
      <c r="F35" s="248"/>
      <c r="G35" s="248"/>
      <c r="H35" s="248"/>
      <c r="I35" s="248"/>
      <c r="J35" s="248"/>
      <c r="K35" s="105"/>
      <c r="L35" s="105"/>
      <c r="M35" s="105"/>
      <c r="N35" s="105"/>
      <c r="O35" s="105"/>
      <c r="P35" s="105"/>
    </row>
    <row r="36" spans="1:16" ht="19" customHeight="1">
      <c r="A36"/>
      <c r="B36" s="248"/>
      <c r="C36" s="248"/>
      <c r="D36" s="248"/>
      <c r="E36" s="248"/>
      <c r="F36" s="248"/>
      <c r="G36" s="248"/>
      <c r="H36" s="248"/>
      <c r="I36" s="248"/>
      <c r="J36" s="248"/>
      <c r="K36" s="105"/>
      <c r="L36" s="105"/>
      <c r="M36" s="105"/>
      <c r="N36" s="105"/>
      <c r="O36" s="105"/>
      <c r="P36" s="105"/>
    </row>
    <row r="37" spans="1:16" ht="21" customHeight="1">
      <c r="A37"/>
      <c r="B37" s="35" t="s">
        <v>189</v>
      </c>
      <c r="C37"/>
      <c r="D37" s="166">
        <f>SUM(tbl_IdleRed_Input[Petroleum Reduction (GGE/year)])</f>
        <v>0</v>
      </c>
      <c r="E37" s="35" t="s">
        <v>52</v>
      </c>
      <c r="F37"/>
      <c r="G37"/>
      <c r="H37"/>
      <c r="I37"/>
      <c r="J37"/>
      <c r="K37"/>
      <c r="L37"/>
      <c r="M37"/>
      <c r="N37"/>
      <c r="O37"/>
      <c r="P37"/>
    </row>
    <row r="38" spans="1:16">
      <c r="A38"/>
      <c r="B38"/>
      <c r="C38"/>
      <c r="D38"/>
      <c r="E38"/>
      <c r="F38"/>
      <c r="G38"/>
      <c r="H38"/>
      <c r="I38"/>
    </row>
    <row r="39" spans="1:16" ht="18.75" customHeight="1">
      <c r="A39"/>
      <c r="B39" s="35" t="s">
        <v>258</v>
      </c>
      <c r="C39"/>
      <c r="D39"/>
      <c r="E39"/>
      <c r="F39"/>
      <c r="G39"/>
      <c r="H39"/>
      <c r="I39"/>
      <c r="J39"/>
      <c r="K39"/>
      <c r="L39"/>
    </row>
    <row r="40" spans="1:16">
      <c r="A40"/>
      <c r="B40" t="s">
        <v>257</v>
      </c>
      <c r="C40"/>
      <c r="D40"/>
      <c r="E40"/>
      <c r="F40"/>
      <c r="G40"/>
      <c r="H40"/>
      <c r="I40"/>
      <c r="J40"/>
      <c r="K40"/>
      <c r="L40"/>
    </row>
    <row r="41" spans="1:16">
      <c r="A41"/>
      <c r="B41"/>
      <c r="C41"/>
      <c r="D41"/>
      <c r="E41"/>
      <c r="F41"/>
      <c r="G41"/>
      <c r="H41"/>
      <c r="I41"/>
      <c r="J41"/>
      <c r="K41"/>
      <c r="L41"/>
    </row>
    <row r="42" spans="1:16">
      <c r="A42"/>
      <c r="B42" s="290" t="s">
        <v>421</v>
      </c>
      <c r="C42" s="290"/>
      <c r="D42" s="290"/>
      <c r="E42" s="290"/>
      <c r="F42" s="290"/>
      <c r="G42" s="290"/>
      <c r="H42" s="290"/>
      <c r="I42" s="290"/>
      <c r="J42" s="290"/>
      <c r="K42"/>
      <c r="L42"/>
    </row>
    <row r="43" spans="1:16">
      <c r="A43"/>
      <c r="B43" s="290"/>
      <c r="C43" s="290"/>
      <c r="D43" s="290"/>
      <c r="E43" s="290"/>
      <c r="F43" s="290"/>
      <c r="G43" s="290"/>
      <c r="H43" s="290"/>
      <c r="I43" s="290"/>
      <c r="J43" s="290"/>
      <c r="K43"/>
      <c r="L43"/>
    </row>
    <row r="44" spans="1:16">
      <c r="A44"/>
      <c r="B44"/>
      <c r="C44"/>
      <c r="D44"/>
      <c r="E44"/>
      <c r="F44"/>
      <c r="G44"/>
      <c r="H44"/>
      <c r="I44"/>
      <c r="J44"/>
      <c r="K44"/>
      <c r="L44"/>
    </row>
    <row r="45" spans="1:16" ht="67" customHeight="1" thickBot="1">
      <c r="B45" s="55" t="s">
        <v>409</v>
      </c>
      <c r="C45" s="55" t="s">
        <v>379</v>
      </c>
      <c r="D45" s="55" t="s">
        <v>417</v>
      </c>
      <c r="E45" s="56" t="s">
        <v>400</v>
      </c>
      <c r="F45" s="56" t="s">
        <v>410</v>
      </c>
      <c r="G45" s="57" t="s">
        <v>411</v>
      </c>
      <c r="H45" s="57" t="s">
        <v>412</v>
      </c>
      <c r="I45" s="57" t="s">
        <v>66</v>
      </c>
      <c r="J45" s="58" t="s">
        <v>255</v>
      </c>
    </row>
    <row r="46" spans="1:16">
      <c r="B46" s="141"/>
      <c r="C46" s="101"/>
      <c r="D46" s="101"/>
      <c r="E46" s="142"/>
      <c r="F46" s="142"/>
      <c r="G46" s="142"/>
      <c r="H46" s="142"/>
      <c r="I46" s="102" t="str">
        <f>IF(tbl_IdleRed_Input[[#This Row],[Fuel Used in Vehicle]]="","",VLOOKUP(tbl_IdleRed_Input[[#This Row],[Fuel Used in Vehicle]],Tbl_Fuel_Conversions,3,FALSE))</f>
        <v/>
      </c>
      <c r="J46" s="145" t="str">
        <f>IFERROR(IF(tbl_IdleRed_Input[[#This Row],[Number of Vehicles]]="","",tbl_IdleRed_Input[[#This Row],[Average Reduction in Idling Time of Vehicles (hours/day)]]*tbl_IdleRed_Input[[#This Row],[Work Days per Year]]*tbl_IdleRed_Input[[#This Row],[Idling Fuel Use (gal/h)]]*tbl_IdleRed_Input[[#This Row],[GGE Conversion Factor]]*tbl_IdleRed_Input[[#This Row],[Number of Vehicles]]),0)</f>
        <v/>
      </c>
    </row>
    <row r="47" spans="1:16">
      <c r="B47" s="143"/>
      <c r="C47" s="103"/>
      <c r="D47" s="103"/>
      <c r="E47" s="144"/>
      <c r="F47" s="144"/>
      <c r="G47" s="144"/>
      <c r="H47" s="144"/>
      <c r="I47" s="104" t="str">
        <f>IF(tbl_IdleRed_Input[[#This Row],[Fuel Used in Vehicle]]="","",VLOOKUP(tbl_IdleRed_Input[[#This Row],[Fuel Used in Vehicle]],Tbl_Fuel_Conversions,3,FALSE))</f>
        <v/>
      </c>
      <c r="J47" s="146" t="str">
        <f>IFERROR(IF(tbl_IdleRed_Input[[#This Row],[Number of Vehicles]]="","",tbl_IdleRed_Input[[#This Row],[Average Reduction in Idling Time of Vehicles (hours/day)]]*tbl_IdleRed_Input[[#This Row],[Work Days per Year]]*tbl_IdleRed_Input[[#This Row],[Idling Fuel Use (gal/h)]]*tbl_IdleRed_Input[[#This Row],[GGE Conversion Factor]]*tbl_IdleRed_Input[[#This Row],[Number of Vehicles]]),0)</f>
        <v/>
      </c>
    </row>
    <row r="48" spans="1:16">
      <c r="B48" s="143"/>
      <c r="C48" s="103"/>
      <c r="D48" s="103"/>
      <c r="E48" s="144"/>
      <c r="F48" s="144"/>
      <c r="G48" s="144"/>
      <c r="H48" s="144"/>
      <c r="I48" s="104" t="str">
        <f>IF(tbl_IdleRed_Input[[#This Row],[Fuel Used in Vehicle]]="","",VLOOKUP(tbl_IdleRed_Input[[#This Row],[Fuel Used in Vehicle]],Tbl_Fuel_Conversions,3,FALSE))</f>
        <v/>
      </c>
      <c r="J48" s="146" t="str">
        <f>IFERROR(IF(tbl_IdleRed_Input[[#This Row],[Number of Vehicles]]="","",tbl_IdleRed_Input[[#This Row],[Average Reduction in Idling Time of Vehicles (hours/day)]]*tbl_IdleRed_Input[[#This Row],[Work Days per Year]]*tbl_IdleRed_Input[[#This Row],[Idling Fuel Use (gal/h)]]*tbl_IdleRed_Input[[#This Row],[GGE Conversion Factor]]*tbl_IdleRed_Input[[#This Row],[Number of Vehicles]]),0)</f>
        <v/>
      </c>
    </row>
    <row r="49" spans="2:10">
      <c r="B49" s="147"/>
      <c r="C49" s="148"/>
      <c r="D49" s="148"/>
      <c r="E49" s="149"/>
      <c r="F49" s="149"/>
      <c r="G49" s="149"/>
      <c r="H49" s="149"/>
      <c r="I49" s="150" t="str">
        <f>IF(tbl_IdleRed_Input[[#This Row],[Fuel Used in Vehicle]]="","",VLOOKUP(tbl_IdleRed_Input[[#This Row],[Fuel Used in Vehicle]],Tbl_Fuel_Conversions,3,FALSE))</f>
        <v/>
      </c>
      <c r="J49" s="151" t="str">
        <f>IFERROR(IF(tbl_IdleRed_Input[[#This Row],[Number of Vehicles]]="","",tbl_IdleRed_Input[[#This Row],[Average Reduction in Idling Time of Vehicles (hours/day)]]*tbl_IdleRed_Input[[#This Row],[Work Days per Year]]*tbl_IdleRed_Input[[#This Row],[Idling Fuel Use (gal/h)]]*tbl_IdleRed_Input[[#This Row],[GGE Conversion Factor]]*tbl_IdleRed_Input[[#This Row],[Number of Vehicles]]),0)</f>
        <v/>
      </c>
    </row>
  </sheetData>
  <sheetProtection formatColumns="0" formatRows="0"/>
  <mergeCells count="20">
    <mergeCell ref="B42:J43"/>
    <mergeCell ref="B6:C6"/>
    <mergeCell ref="B34:J36"/>
    <mergeCell ref="D6:E6"/>
    <mergeCell ref="B7:C7"/>
    <mergeCell ref="D7:E7"/>
    <mergeCell ref="B8:C8"/>
    <mergeCell ref="D8:E8"/>
    <mergeCell ref="B9:C9"/>
    <mergeCell ref="D9:E9"/>
    <mergeCell ref="B10:C10"/>
    <mergeCell ref="D10:E10"/>
    <mergeCell ref="B11:C11"/>
    <mergeCell ref="D11:E11"/>
    <mergeCell ref="B3:C3"/>
    <mergeCell ref="D3:E3"/>
    <mergeCell ref="B4:C4"/>
    <mergeCell ref="D4:E4"/>
    <mergeCell ref="B5:C5"/>
    <mergeCell ref="D5:E5"/>
  </mergeCells>
  <dataValidations count="6">
    <dataValidation type="list" allowBlank="1" showInputMessage="1" showErrorMessage="1" promptTitle="Select from dropdown list" prompt="There are no default values for some vehicles with load. Select &quot;without load&quot; or enter your own value" sqref="G46" xr:uid="{00000000-0002-0000-0700-000000000000}">
      <formula1>IF(F46 = "with load",Default_fuel_use_wload,Default_fuel_use_wo_load)</formula1>
    </dataValidation>
    <dataValidation type="list" allowBlank="1" showInputMessage="1" showErrorMessage="1" promptTitle="Select from dropdown list" prompt="There are no default values for some vehicles with load. Select &quot;without load&quot; or enter your own value" sqref="G47:G49" xr:uid="{00000000-0002-0000-0700-000001000000}">
      <formula1>IF($E47="with load",Default_fuel_use_wload,Default_fuel_use_wo_load)</formula1>
    </dataValidation>
    <dataValidation type="list" allowBlank="1" showInputMessage="1" showErrorMessage="1" promptTitle="Select from dropdown list" prompt="Select &quot;with load&quot; if the vehicle is normally carrying cargo (such as a delivery truck). Select &quot;without load&quot; if the vehicle does not normally carry cargo (for example, a security vehicle)" sqref="F46:F49" xr:uid="{00000000-0002-0000-0700-000002000000}">
      <formula1>"with load, without load"</formula1>
    </dataValidation>
    <dataValidation type="list" allowBlank="1" showInputMessage="1" showErrorMessage="1" sqref="B46:B49" xr:uid="{00000000-0002-0000-0700-000003000000}">
      <formula1>Idle_VehicleType</formula1>
    </dataValidation>
    <dataValidation type="list" allowBlank="1" showInputMessage="1" showErrorMessage="1" sqref="E46:E49" xr:uid="{00000000-0002-0000-0700-000004000000}">
      <formula1>Conv_Fuels_List</formula1>
    </dataValidation>
    <dataValidation type="list" errorStyle="information" allowBlank="1" showInputMessage="1" showErrorMessage="1" error="Five day workweek = 260 days per year" prompt="Select default or enter your own value" sqref="H46:H49" xr:uid="{00000000-0002-0000-0700-000005000000}">
      <formula1>"260, "</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A1:P45"/>
  <sheetViews>
    <sheetView showGridLines="0" topLeftCell="A14" zoomScale="80" zoomScaleNormal="80" zoomScalePageLayoutView="80" workbookViewId="0">
      <selection activeCell="H51" sqref="H51"/>
    </sheetView>
  </sheetViews>
  <sheetFormatPr baseColWidth="10" defaultColWidth="8.83203125" defaultRowHeight="16"/>
  <cols>
    <col min="1" max="1" width="8.83203125" style="1"/>
    <col min="2" max="2" width="19.5" style="1" customWidth="1"/>
    <col min="3" max="11" width="19.33203125" style="1" customWidth="1"/>
    <col min="12" max="16384" width="8.83203125" style="1"/>
  </cols>
  <sheetData>
    <row r="1" spans="1:11" ht="18" customHeight="1">
      <c r="A1"/>
      <c r="B1"/>
      <c r="C1"/>
      <c r="D1"/>
      <c r="E1"/>
      <c r="F1"/>
      <c r="G1"/>
      <c r="H1"/>
      <c r="I1"/>
      <c r="J1"/>
      <c r="K1"/>
    </row>
    <row r="2" spans="1:11" ht="18" customHeight="1">
      <c r="A2"/>
      <c r="B2"/>
      <c r="C2"/>
      <c r="D2"/>
      <c r="E2"/>
      <c r="F2"/>
      <c r="G2"/>
      <c r="H2"/>
      <c r="I2"/>
      <c r="J2"/>
      <c r="K2"/>
    </row>
    <row r="3" spans="1:11" ht="18" customHeight="1" thickBot="1">
      <c r="A3"/>
      <c r="B3" s="237" t="s">
        <v>358</v>
      </c>
      <c r="C3" s="237"/>
      <c r="D3" s="237" t="s">
        <v>359</v>
      </c>
      <c r="E3" s="237"/>
      <c r="F3" s="165"/>
      <c r="G3" s="165"/>
      <c r="H3" s="165"/>
      <c r="I3" s="165"/>
      <c r="J3"/>
      <c r="K3"/>
    </row>
    <row r="4" spans="1:11" ht="18" customHeight="1" thickTop="1">
      <c r="A4"/>
      <c r="B4" s="238" t="s">
        <v>360</v>
      </c>
      <c r="C4" s="238"/>
      <c r="D4" s="241">
        <f>Alt_Fuel_GGE</f>
        <v>0</v>
      </c>
      <c r="E4" s="241"/>
      <c r="F4" s="165"/>
      <c r="G4" s="165"/>
      <c r="H4" s="165"/>
      <c r="I4" s="165"/>
      <c r="J4"/>
      <c r="K4"/>
    </row>
    <row r="5" spans="1:11" ht="18" customHeight="1">
      <c r="A5"/>
      <c r="B5" s="239" t="s">
        <v>367</v>
      </c>
      <c r="C5" s="239"/>
      <c r="D5" s="235">
        <f>PHEV_GGE</f>
        <v>0</v>
      </c>
      <c r="E5" s="235"/>
      <c r="F5" s="165"/>
      <c r="G5" s="165"/>
      <c r="H5" s="165"/>
      <c r="I5" s="165"/>
      <c r="J5"/>
      <c r="K5"/>
    </row>
    <row r="6" spans="1:11" ht="18" customHeight="1">
      <c r="A6"/>
      <c r="B6" s="239" t="s">
        <v>361</v>
      </c>
      <c r="C6" s="239"/>
      <c r="D6" s="235">
        <f>Biodiesel_GGE</f>
        <v>0</v>
      </c>
      <c r="E6" s="235"/>
      <c r="F6" s="165"/>
      <c r="G6" s="165"/>
      <c r="H6" s="165"/>
      <c r="I6" s="165"/>
      <c r="J6"/>
      <c r="K6"/>
    </row>
    <row r="7" spans="1:11" ht="18" customHeight="1">
      <c r="A7"/>
      <c r="B7" s="239" t="s">
        <v>362</v>
      </c>
      <c r="C7" s="239"/>
      <c r="D7" s="235">
        <f>Replace_vehicles_GGE</f>
        <v>0</v>
      </c>
      <c r="E7" s="235"/>
      <c r="F7" s="165"/>
      <c r="G7" s="165"/>
      <c r="H7" s="165"/>
      <c r="I7" s="165"/>
      <c r="J7"/>
      <c r="K7"/>
    </row>
    <row r="8" spans="1:11" ht="18" customHeight="1">
      <c r="A8"/>
      <c r="B8" s="239" t="s">
        <v>363</v>
      </c>
      <c r="C8" s="239"/>
      <c r="D8" s="235">
        <f>VMT_GGE</f>
        <v>0</v>
      </c>
      <c r="E8" s="235"/>
      <c r="F8" s="165"/>
      <c r="G8" s="165"/>
      <c r="H8" s="165"/>
      <c r="I8" s="165"/>
      <c r="J8"/>
      <c r="K8"/>
    </row>
    <row r="9" spans="1:11" ht="18" customHeight="1">
      <c r="A9"/>
      <c r="B9" s="239" t="s">
        <v>364</v>
      </c>
      <c r="C9" s="239"/>
      <c r="D9" s="235">
        <f>TruckStopIR_GGE</f>
        <v>0</v>
      </c>
      <c r="E9" s="235"/>
      <c r="F9" s="165"/>
      <c r="G9" s="165"/>
      <c r="H9" s="165"/>
      <c r="I9" s="165"/>
      <c r="J9"/>
      <c r="K9"/>
    </row>
    <row r="10" spans="1:11" ht="18" customHeight="1">
      <c r="A10"/>
      <c r="B10" s="239" t="s">
        <v>365</v>
      </c>
      <c r="C10" s="239"/>
      <c r="D10" s="235">
        <f>VehicleIR_GGE</f>
        <v>0</v>
      </c>
      <c r="E10" s="235"/>
      <c r="F10" s="165"/>
      <c r="G10" s="165"/>
      <c r="H10" s="165"/>
      <c r="I10" s="165"/>
      <c r="J10"/>
      <c r="K10"/>
    </row>
    <row r="11" spans="1:11" ht="18" customHeight="1" thickBot="1">
      <c r="A11"/>
      <c r="B11" s="240" t="s">
        <v>366</v>
      </c>
      <c r="C11" s="240"/>
      <c r="D11" s="236">
        <f>OnboardIR_GGE</f>
        <v>0</v>
      </c>
      <c r="E11" s="236"/>
      <c r="F11" s="165"/>
      <c r="G11" s="165"/>
      <c r="H11" s="165"/>
      <c r="I11" s="165"/>
      <c r="J11"/>
      <c r="K11"/>
    </row>
    <row r="12" spans="1:11" ht="18" customHeight="1">
      <c r="A12"/>
      <c r="B12" s="165"/>
      <c r="C12" s="165"/>
      <c r="D12" s="165"/>
      <c r="E12" s="165"/>
      <c r="F12" s="165"/>
      <c r="G12" s="165"/>
      <c r="H12" s="165"/>
      <c r="I12" s="165"/>
      <c r="J12"/>
      <c r="K12"/>
    </row>
    <row r="13" spans="1:11" ht="18" customHeight="1">
      <c r="A13"/>
      <c r="B13" s="165"/>
      <c r="C13" s="165"/>
      <c r="D13" s="165"/>
      <c r="E13" s="165"/>
      <c r="F13" s="165"/>
      <c r="G13" s="165"/>
      <c r="H13" s="165"/>
      <c r="I13" s="165"/>
      <c r="J13"/>
      <c r="K13"/>
    </row>
    <row r="14" spans="1:11" ht="18" customHeight="1">
      <c r="A14"/>
      <c r="B14" s="165"/>
      <c r="C14" s="165"/>
      <c r="D14" s="165"/>
      <c r="E14" s="165"/>
      <c r="F14" s="165"/>
      <c r="G14" s="165"/>
      <c r="H14" s="165"/>
      <c r="I14" s="165"/>
      <c r="J14"/>
      <c r="K14"/>
    </row>
    <row r="15" spans="1:11" ht="18" customHeight="1">
      <c r="A15"/>
      <c r="B15" s="165"/>
      <c r="C15" s="165"/>
      <c r="D15" s="165"/>
      <c r="E15" s="165"/>
      <c r="F15" s="165"/>
      <c r="G15" s="165"/>
      <c r="H15" s="165"/>
      <c r="I15" s="165"/>
      <c r="J15"/>
      <c r="K15"/>
    </row>
    <row r="16" spans="1:11" ht="18" customHeight="1">
      <c r="A16"/>
      <c r="B16" s="165"/>
      <c r="C16" s="165"/>
      <c r="D16" s="165"/>
      <c r="E16" s="165"/>
      <c r="F16" s="165"/>
      <c r="G16" s="165"/>
      <c r="H16" s="165"/>
      <c r="I16" s="165"/>
      <c r="J16"/>
      <c r="K16"/>
    </row>
    <row r="17" spans="1:11" ht="18" customHeight="1">
      <c r="A17"/>
      <c r="B17" s="165"/>
      <c r="C17" s="165"/>
      <c r="D17" s="165"/>
      <c r="E17" s="165"/>
      <c r="F17" s="165"/>
      <c r="G17" s="165"/>
      <c r="H17" s="165"/>
      <c r="I17" s="165"/>
      <c r="J17"/>
      <c r="K17"/>
    </row>
    <row r="18" spans="1:11" ht="18" customHeight="1">
      <c r="A18"/>
      <c r="B18" s="165"/>
      <c r="C18" s="165"/>
      <c r="D18" s="165"/>
      <c r="E18" s="165"/>
      <c r="F18" s="165"/>
      <c r="G18" s="165"/>
      <c r="H18" s="165"/>
      <c r="I18" s="165"/>
      <c r="J18"/>
      <c r="K18"/>
    </row>
    <row r="19" spans="1:11" ht="18" customHeight="1">
      <c r="A19"/>
      <c r="B19" s="165"/>
      <c r="C19" s="165"/>
      <c r="D19" s="165"/>
      <c r="E19" s="165"/>
      <c r="F19" s="165"/>
      <c r="G19" s="165"/>
      <c r="H19" s="165"/>
      <c r="I19" s="165"/>
      <c r="J19"/>
      <c r="K19"/>
    </row>
    <row r="20" spans="1:11" ht="18" customHeight="1">
      <c r="A20"/>
      <c r="B20" s="165"/>
      <c r="C20" s="165"/>
      <c r="D20" s="165"/>
      <c r="E20" s="165"/>
      <c r="F20" s="165"/>
      <c r="G20" s="165"/>
      <c r="H20" s="165"/>
      <c r="I20" s="165"/>
      <c r="J20"/>
      <c r="K20"/>
    </row>
    <row r="21" spans="1:11" ht="18" customHeight="1">
      <c r="A21"/>
      <c r="B21" s="165"/>
      <c r="C21" s="165"/>
      <c r="D21" s="165"/>
      <c r="E21" s="165"/>
      <c r="F21" s="165"/>
      <c r="G21" s="165"/>
      <c r="H21" s="165"/>
      <c r="I21" s="165"/>
      <c r="J21"/>
      <c r="K21"/>
    </row>
    <row r="22" spans="1:11" ht="18" customHeight="1">
      <c r="A22"/>
      <c r="B22" s="165"/>
      <c r="C22" s="165"/>
      <c r="D22" s="165"/>
      <c r="E22" s="165"/>
      <c r="F22" s="165"/>
      <c r="G22" s="165"/>
      <c r="H22" s="165"/>
      <c r="I22" s="165"/>
      <c r="J22"/>
      <c r="K22"/>
    </row>
    <row r="23" spans="1:11" ht="18" customHeight="1">
      <c r="A23"/>
      <c r="J23"/>
      <c r="K23"/>
    </row>
    <row r="24" spans="1:11" ht="18" customHeight="1">
      <c r="A24"/>
      <c r="J24"/>
      <c r="K24"/>
    </row>
    <row r="25" spans="1:11" ht="18" customHeight="1">
      <c r="A25"/>
      <c r="J25"/>
      <c r="K25"/>
    </row>
    <row r="26" spans="1:11" ht="18" customHeight="1">
      <c r="A26"/>
      <c r="J26"/>
      <c r="K26"/>
    </row>
    <row r="27" spans="1:11" ht="18" customHeight="1">
      <c r="I27"/>
      <c r="J27"/>
    </row>
    <row r="28" spans="1:11" ht="18" customHeight="1">
      <c r="I28"/>
      <c r="J28"/>
    </row>
    <row r="29" spans="1:11" ht="18" customHeight="1">
      <c r="J29"/>
    </row>
    <row r="31" spans="1:11">
      <c r="A31"/>
      <c r="B31"/>
      <c r="C31"/>
      <c r="D31"/>
      <c r="E31"/>
      <c r="F31"/>
      <c r="G31"/>
      <c r="H31"/>
      <c r="I31"/>
    </row>
    <row r="32" spans="1:11" ht="65" customHeight="1">
      <c r="A32"/>
      <c r="B32"/>
      <c r="C32"/>
      <c r="D32"/>
      <c r="E32"/>
      <c r="F32"/>
      <c r="G32"/>
      <c r="H32"/>
      <c r="I32"/>
    </row>
    <row r="33" spans="1:16" ht="30.75" customHeight="1">
      <c r="A33"/>
      <c r="B33" s="38" t="s">
        <v>413</v>
      </c>
      <c r="C33" s="35"/>
      <c r="D33" s="35"/>
      <c r="E33" s="34"/>
      <c r="F33" s="34"/>
      <c r="G33" s="34"/>
      <c r="H33" s="34"/>
      <c r="I33" s="34"/>
      <c r="J33" s="34"/>
      <c r="K33"/>
      <c r="L33"/>
      <c r="M33"/>
      <c r="N33"/>
      <c r="O33"/>
      <c r="P33" s="34"/>
    </row>
    <row r="34" spans="1:16" ht="19" customHeight="1">
      <c r="A34"/>
      <c r="B34" s="297" t="s">
        <v>348</v>
      </c>
      <c r="C34" s="297"/>
      <c r="D34" s="297"/>
      <c r="E34" s="297"/>
      <c r="F34" s="297"/>
      <c r="G34" s="297"/>
      <c r="H34" s="297"/>
      <c r="I34" s="297"/>
      <c r="J34" s="105"/>
      <c r="K34" s="105"/>
      <c r="L34" s="105"/>
      <c r="M34" s="105"/>
      <c r="N34" s="105"/>
      <c r="O34" s="105"/>
      <c r="P34" s="105"/>
    </row>
    <row r="35" spans="1:16" ht="19" customHeight="1">
      <c r="A35"/>
      <c r="B35" s="105"/>
      <c r="C35" s="105"/>
      <c r="D35" s="105"/>
      <c r="E35" s="105"/>
      <c r="F35" s="105"/>
      <c r="G35" s="105"/>
      <c r="H35" s="105"/>
      <c r="I35" s="105"/>
      <c r="J35" s="105"/>
      <c r="K35" s="105"/>
      <c r="L35" s="105"/>
      <c r="M35" s="105"/>
      <c r="N35" s="105"/>
      <c r="O35" s="105"/>
      <c r="P35" s="105"/>
    </row>
    <row r="36" spans="1:16" ht="21" customHeight="1">
      <c r="A36"/>
      <c r="B36" s="35" t="s">
        <v>189</v>
      </c>
      <c r="C36"/>
      <c r="D36" s="98">
        <f>SUM(tbl_Onboard_idle_red[Petroleum Reduction (GGE/year)])</f>
        <v>0</v>
      </c>
      <c r="E36" s="35" t="s">
        <v>52</v>
      </c>
      <c r="F36"/>
      <c r="G36"/>
      <c r="H36"/>
      <c r="I36"/>
      <c r="J36"/>
      <c r="K36"/>
      <c r="L36"/>
      <c r="M36"/>
      <c r="N36"/>
      <c r="O36"/>
      <c r="P36"/>
    </row>
    <row r="37" spans="1:16" customFormat="1" ht="21" customHeight="1"/>
    <row r="38" spans="1:16" customFormat="1" ht="21" customHeight="1">
      <c r="B38" s="290" t="s">
        <v>424</v>
      </c>
      <c r="C38" s="290"/>
      <c r="D38" s="290"/>
      <c r="E38" s="290"/>
      <c r="F38" s="290"/>
      <c r="G38" s="290"/>
      <c r="H38" s="290"/>
    </row>
    <row r="39" spans="1:16">
      <c r="A39"/>
      <c r="B39" s="290"/>
      <c r="C39" s="290"/>
      <c r="D39" s="290"/>
      <c r="E39" s="290"/>
      <c r="F39" s="290"/>
      <c r="G39" s="290"/>
      <c r="H39" s="290"/>
      <c r="I39"/>
      <c r="J39"/>
      <c r="K39"/>
      <c r="L39"/>
      <c r="M39"/>
      <c r="N39"/>
      <c r="O39"/>
      <c r="P39"/>
    </row>
    <row r="40" spans="1:16" ht="19">
      <c r="A40"/>
      <c r="B40" s="217" t="s">
        <v>260</v>
      </c>
      <c r="C40"/>
      <c r="D40"/>
      <c r="E40"/>
      <c r="F40"/>
      <c r="G40"/>
      <c r="H40"/>
      <c r="I40"/>
      <c r="J40"/>
      <c r="K40"/>
      <c r="L40"/>
      <c r="M40"/>
      <c r="N40"/>
      <c r="O40"/>
      <c r="P40"/>
    </row>
    <row r="41" spans="1:16" ht="17" customHeight="1" thickBot="1">
      <c r="A41"/>
      <c r="B41" s="299" t="s">
        <v>294</v>
      </c>
      <c r="C41" s="300"/>
      <c r="D41" s="300"/>
      <c r="E41" s="300"/>
      <c r="F41" s="300"/>
      <c r="G41" s="300"/>
      <c r="H41" s="300"/>
      <c r="I41"/>
      <c r="J41"/>
      <c r="K41"/>
      <c r="L41"/>
      <c r="M41"/>
      <c r="N41"/>
      <c r="O41"/>
      <c r="P41"/>
    </row>
    <row r="42" spans="1:16" ht="40" customHeight="1">
      <c r="B42" s="47" t="s">
        <v>414</v>
      </c>
      <c r="C42" s="47" t="s">
        <v>498</v>
      </c>
      <c r="D42" s="48" t="s">
        <v>415</v>
      </c>
      <c r="E42" s="48" t="s">
        <v>499</v>
      </c>
      <c r="F42" s="48" t="s">
        <v>416</v>
      </c>
      <c r="G42" s="48" t="s">
        <v>557</v>
      </c>
      <c r="H42" s="49" t="s">
        <v>255</v>
      </c>
      <c r="I42"/>
      <c r="J42"/>
      <c r="K42"/>
      <c r="L42"/>
      <c r="M42" s="208"/>
      <c r="N42"/>
      <c r="O42"/>
    </row>
    <row r="43" spans="1:16">
      <c r="B43" s="53"/>
      <c r="C43" s="53"/>
      <c r="D43" s="152"/>
      <c r="E43" s="140"/>
      <c r="F43" s="54"/>
      <c r="G43" s="214"/>
      <c r="H43" s="100">
        <f>IFERROR(tbl_Onboard_idle_red[[#This Row],[Number of vehicles]]*tbl_Onboard_idle_red[[#This Row],[hours / year PTO use]]*INDEX(TBL_APU_GGE_Savings[],MATCH(tbl_Onboard_idle_red[[#This Row],[Type of Idle Reduction Equipment]],TBL_APU_GGE_Savings[Onboard IR Type],0),MATCH(tbl_Onboard_idle_red[[#This Row],[APU Fuel Type]],TBL_APU_GGE_Savings[#Headers],0)),0)</f>
        <v>0</v>
      </c>
      <c r="I43"/>
      <c r="J43"/>
      <c r="K43"/>
      <c r="L43"/>
      <c r="M43"/>
      <c r="N43"/>
      <c r="O43"/>
    </row>
    <row r="44" spans="1:16">
      <c r="B44" s="53"/>
      <c r="C44" s="53"/>
      <c r="D44" s="152"/>
      <c r="E44" s="140"/>
      <c r="F44" s="54"/>
      <c r="G44" s="214"/>
      <c r="H44" s="100">
        <f>IFERROR(tbl_Onboard_idle_red[[#This Row],[Number of vehicles]]*tbl_Onboard_idle_red[[#This Row],[hours / year PTO use]]*INDEX(TBL_APU_GGE_Savings[],MATCH(tbl_Onboard_idle_red[[#This Row],[Type of Idle Reduction Equipment]],TBL_APU_GGE_Savings[Onboard IR Type],0),MATCH(tbl_Onboard_idle_red[[#This Row],[APU Fuel Type]],TBL_APU_GGE_Savings[#Headers],0)),0)</f>
        <v>0</v>
      </c>
      <c r="I44"/>
      <c r="J44"/>
      <c r="K44"/>
      <c r="L44"/>
      <c r="M44"/>
      <c r="N44"/>
      <c r="O44"/>
    </row>
    <row r="45" spans="1:16">
      <c r="B45" s="209"/>
      <c r="C45" s="209"/>
      <c r="D45" s="152"/>
      <c r="E45" s="152"/>
      <c r="F45" s="216"/>
      <c r="G45" s="215"/>
      <c r="H45" s="100">
        <f>IFERROR(tbl_Onboard_idle_red[[#This Row],[Number of vehicles]]*tbl_Onboard_idle_red[[#This Row],[hours / year PTO use]]*INDEX(TBL_APU_GGE_Savings[],MATCH(tbl_Onboard_idle_red[[#This Row],[Type of Idle Reduction Equipment]],TBL_APU_GGE_Savings[Onboard IR Type],0),MATCH(tbl_Onboard_idle_red[[#This Row],[APU Fuel Type]],TBL_APU_GGE_Savings[#Headers],0)),0)</f>
        <v>0</v>
      </c>
    </row>
  </sheetData>
  <sheetProtection formatColumns="0" formatRows="0"/>
  <mergeCells count="21">
    <mergeCell ref="B38:H39"/>
    <mergeCell ref="B41:H41"/>
    <mergeCell ref="B34:I34"/>
    <mergeCell ref="B3:C3"/>
    <mergeCell ref="D3:E3"/>
    <mergeCell ref="B4:C4"/>
    <mergeCell ref="D4:E4"/>
    <mergeCell ref="B5:C5"/>
    <mergeCell ref="D5:E5"/>
    <mergeCell ref="B6:C6"/>
    <mergeCell ref="D6:E6"/>
    <mergeCell ref="B7:C7"/>
    <mergeCell ref="D7:E7"/>
    <mergeCell ref="B11:C11"/>
    <mergeCell ref="D11:E11"/>
    <mergeCell ref="B8:C8"/>
    <mergeCell ref="D8:E8"/>
    <mergeCell ref="B9:C9"/>
    <mergeCell ref="D9:E9"/>
    <mergeCell ref="B10:C10"/>
    <mergeCell ref="D10:E10"/>
  </mergeCells>
  <phoneticPr fontId="38" type="noConversion"/>
  <dataValidations count="5">
    <dataValidation allowBlank="1" showInputMessage="1" showErrorMessage="1" prompt="To add a new row, start typing in the cell below the last entry in this column. A new row will be added automatically. " sqref="B42:C42" xr:uid="{00000000-0002-0000-0800-000000000000}"/>
    <dataValidation type="list" allowBlank="1" showInputMessage="1" showErrorMessage="1" prompt="APU: Auxiliary power for utility bucket Truck, Direct-fired heater &amp; Direct heat with thermal storage cooling: cab/sleeper AC &amp; engine during hotelling for long-haul trucks" sqref="D43:D45" xr:uid="{00000000-0002-0000-0800-000004000000}">
      <formula1>Onboard_Equip</formula1>
    </dataValidation>
    <dataValidation type="list" allowBlank="1" showInputMessage="1" showErrorMessage="1" sqref="E43:E45" xr:uid="{C89C9E29-340C-1D48-938E-702893C0D096}">
      <formula1>INDIRECT("TBL_Onboardidle_fuels["&amp;temp_OnBoardIR_type&amp;"]")</formula1>
    </dataValidation>
    <dataValidation type="whole" operator="greaterThan" allowBlank="1" showInputMessage="1" showErrorMessage="1" sqref="F43:F45" xr:uid="{00000000-0002-0000-0800-000002000000}">
      <formula1>0</formula1>
    </dataValidation>
    <dataValidation type="list" operator="greaterThan" allowBlank="1" showInputMessage="1" sqref="G43:G45" xr:uid="{842155CC-7E2A-4745-A4AB-92DA0B384275}">
      <formula1>INDIRECT("TBL_OnboardIR_hrs["&amp; temp_Onboard_hrs &amp;"]")</formula1>
    </dataValidation>
  </dataValidation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63</vt:i4>
      </vt:variant>
    </vt:vector>
  </HeadingPairs>
  <TitlesOfParts>
    <vt:vector size="74" baseType="lpstr">
      <vt:lpstr>AC Plan Summary</vt:lpstr>
      <vt:lpstr>Alternative Fuels</vt:lpstr>
      <vt:lpstr>PHEVs</vt:lpstr>
      <vt:lpstr>Biodiesel Blends</vt:lpstr>
      <vt:lpstr>Fuel Economy</vt:lpstr>
      <vt:lpstr>VMT Reduction</vt:lpstr>
      <vt:lpstr>Truck Stop Electrification</vt:lpstr>
      <vt:lpstr>Idle Time Reduction</vt:lpstr>
      <vt:lpstr>Onboard IR</vt:lpstr>
      <vt:lpstr>Sheet1</vt:lpstr>
      <vt:lpstr>Lists</vt:lpstr>
      <vt:lpstr>ACV_Fuel_Lookup</vt:lpstr>
      <vt:lpstr>ACV_Fuels</vt:lpstr>
      <vt:lpstr>All_Alt</vt:lpstr>
      <vt:lpstr>Alt_Fuel_GGE</vt:lpstr>
      <vt:lpstr>Alt_MPG_Lookup</vt:lpstr>
      <vt:lpstr>Baseline_MPG</vt:lpstr>
      <vt:lpstr>Biodiesel_blends</vt:lpstr>
      <vt:lpstr>Biodiesel_CF</vt:lpstr>
      <vt:lpstr>Biodiesel_GGE</vt:lpstr>
      <vt:lpstr>CNG_Lookup</vt:lpstr>
      <vt:lpstr>Conv_Fuel_Lookup</vt:lpstr>
      <vt:lpstr>Conv_Fuels_List</vt:lpstr>
      <vt:lpstr>'AC Plan Summary'!credit_year</vt:lpstr>
      <vt:lpstr>DGGE</vt:lpstr>
      <vt:lpstr>Diesel</vt:lpstr>
      <vt:lpstr>Diesel_Vehicle_Type</vt:lpstr>
      <vt:lpstr>E_85</vt:lpstr>
      <vt:lpstr>Electric</vt:lpstr>
      <vt:lpstr>'AC Plan Summary'!fleet_name</vt:lpstr>
      <vt:lpstr>Fuel_List</vt:lpstr>
      <vt:lpstr>Gasoline</vt:lpstr>
      <vt:lpstr>H2_Lookup</vt:lpstr>
      <vt:lpstr>Idle_red_total</vt:lpstr>
      <vt:lpstr>Idle_table</vt:lpstr>
      <vt:lpstr>Idle_VehicleType</vt:lpstr>
      <vt:lpstr>LNG</vt:lpstr>
      <vt:lpstr>loc_AltFuels</vt:lpstr>
      <vt:lpstr>loc_biodiesel</vt:lpstr>
      <vt:lpstr>loc_FuelEconomy</vt:lpstr>
      <vt:lpstr>loc_HEVs</vt:lpstr>
      <vt:lpstr>loc_idle</vt:lpstr>
      <vt:lpstr>loc_IdleTime</vt:lpstr>
      <vt:lpstr>loc_IR</vt:lpstr>
      <vt:lpstr>loc_OnboardIR</vt:lpstr>
      <vt:lpstr>loc_ReplaceVeh</vt:lpstr>
      <vt:lpstr>loc_summary</vt:lpstr>
      <vt:lpstr>loc_TruckStop</vt:lpstr>
      <vt:lpstr>loc_VMT</vt:lpstr>
      <vt:lpstr>LPG</vt:lpstr>
      <vt:lpstr>MPG_Lookup</vt:lpstr>
      <vt:lpstr>MPG_values</vt:lpstr>
      <vt:lpstr>'AC Plan Summary'!MYend</vt:lpstr>
      <vt:lpstr>'AC Plan Summary'!MYstart</vt:lpstr>
      <vt:lpstr>no_Alt</vt:lpstr>
      <vt:lpstr>Onboard_Equip</vt:lpstr>
      <vt:lpstr>OnboardIR_GGE</vt:lpstr>
      <vt:lpstr>PHEV_GGE</vt:lpstr>
      <vt:lpstr>plugin_Alt</vt:lpstr>
      <vt:lpstr>PRR</vt:lpstr>
      <vt:lpstr>Pseries</vt:lpstr>
      <vt:lpstr>Replace_vehicles_GGE</vt:lpstr>
      <vt:lpstr>Replaced_Vehicles</vt:lpstr>
      <vt:lpstr>Tbl_Fuel_Conversions</vt:lpstr>
      <vt:lpstr>TrkStop_hours</vt:lpstr>
      <vt:lpstr>TrkStop_idle_fuel</vt:lpstr>
      <vt:lpstr>TruckStopIR_GGE</vt:lpstr>
      <vt:lpstr>Typical_vehicle_FE</vt:lpstr>
      <vt:lpstr>user_percent</vt:lpstr>
      <vt:lpstr>variable_percent</vt:lpstr>
      <vt:lpstr>Vehicle_Size</vt:lpstr>
      <vt:lpstr>VehicleIR_GGE</vt:lpstr>
      <vt:lpstr>VMT_Calculation_Method</vt:lpstr>
      <vt:lpstr>VMT_GGE</vt:lpstr>
    </vt:vector>
  </TitlesOfParts>
  <Company>NREL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Darlene Steward</dc:creator>
  <cp:lastModifiedBy>Microsoft Office User</cp:lastModifiedBy>
  <dcterms:created xsi:type="dcterms:W3CDTF">2013-07-29T20:30:14Z</dcterms:created>
  <dcterms:modified xsi:type="dcterms:W3CDTF">2023-08-29T22:05:03Z</dcterms:modified>
</cp:coreProperties>
</file>